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4480" tabRatio="500" activeTab="1"/>
  </bookViews>
  <sheets>
    <sheet name="CO2 in Gasoline" sheetId="1" r:id="rId1"/>
    <sheet name="CO2 in a Therm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F11" i="2"/>
  <c r="E10" i="2"/>
  <c r="F10" i="2"/>
  <c r="E12" i="2"/>
  <c r="B13" i="2"/>
  <c r="B15" i="2"/>
  <c r="E5" i="2"/>
  <c r="B5" i="2"/>
  <c r="I3" i="2"/>
  <c r="L3" i="2"/>
  <c r="F3" i="2"/>
  <c r="K17" i="2"/>
  <c r="I17" i="2"/>
  <c r="E8" i="2"/>
  <c r="E7" i="2"/>
  <c r="H7" i="2"/>
  <c r="B28" i="2"/>
  <c r="B23" i="2"/>
  <c r="G42" i="2"/>
  <c r="G43" i="2"/>
  <c r="F43" i="2"/>
  <c r="I43" i="2"/>
  <c r="G44" i="2"/>
  <c r="F44" i="2"/>
  <c r="F4" i="2"/>
  <c r="F39" i="2"/>
  <c r="F46" i="2"/>
  <c r="G46" i="2"/>
  <c r="B51" i="2"/>
  <c r="B49" i="2"/>
  <c r="B30" i="2"/>
  <c r="D49" i="2"/>
  <c r="E49" i="2"/>
  <c r="I46" i="2"/>
  <c r="I47" i="2"/>
  <c r="I44" i="2"/>
  <c r="G39" i="2"/>
  <c r="E39" i="2"/>
  <c r="E23" i="2"/>
  <c r="G23" i="2"/>
  <c r="E28" i="2"/>
  <c r="G28" i="2"/>
  <c r="E30" i="2"/>
  <c r="G30" i="2"/>
  <c r="G32" i="2"/>
  <c r="I32" i="2"/>
  <c r="K32" i="2"/>
  <c r="M32" i="2"/>
  <c r="O32" i="2"/>
  <c r="E32" i="2"/>
  <c r="B32" i="2"/>
  <c r="I30" i="2"/>
  <c r="K30" i="2"/>
  <c r="M30" i="2"/>
  <c r="O30" i="2"/>
  <c r="I28" i="2"/>
  <c r="K28" i="2"/>
  <c r="M28" i="2"/>
  <c r="O28" i="2"/>
  <c r="C28" i="2"/>
  <c r="C26" i="2"/>
  <c r="B26" i="2"/>
  <c r="C25" i="2"/>
  <c r="B25" i="2"/>
  <c r="I23" i="2"/>
  <c r="K23" i="2"/>
  <c r="M23" i="2"/>
  <c r="O23" i="2"/>
  <c r="C23" i="2"/>
  <c r="L13" i="2"/>
  <c r="M13" i="2"/>
  <c r="M14" i="2"/>
  <c r="M15" i="2"/>
  <c r="N13" i="2"/>
  <c r="O13" i="2"/>
  <c r="N14" i="2"/>
  <c r="O14" i="2"/>
  <c r="O15" i="2"/>
  <c r="N15" i="2"/>
  <c r="E15" i="2"/>
  <c r="E13" i="2"/>
  <c r="E9" i="2"/>
  <c r="F7" i="2"/>
  <c r="O3" i="2"/>
  <c r="E48" i="1"/>
  <c r="D48" i="1"/>
  <c r="B48" i="1"/>
  <c r="B50" i="1"/>
  <c r="I46" i="1"/>
  <c r="I45" i="1"/>
  <c r="G45" i="1"/>
  <c r="I43" i="1"/>
  <c r="G43" i="1"/>
  <c r="F43" i="1"/>
  <c r="I42" i="1"/>
  <c r="F42" i="1"/>
  <c r="G42" i="1"/>
  <c r="F45" i="1"/>
  <c r="G41" i="1"/>
  <c r="E38" i="1"/>
  <c r="F38" i="1"/>
  <c r="G38" i="1"/>
  <c r="I31" i="1"/>
  <c r="K31" i="1"/>
  <c r="M31" i="1"/>
  <c r="O31" i="1"/>
  <c r="G31" i="1"/>
  <c r="E31" i="1"/>
  <c r="B31" i="1"/>
  <c r="K29" i="1"/>
  <c r="K27" i="1"/>
  <c r="K22" i="1"/>
  <c r="M29" i="1"/>
  <c r="O29" i="1"/>
  <c r="M27" i="1"/>
  <c r="O27" i="1"/>
  <c r="M22" i="1"/>
  <c r="O22" i="1"/>
  <c r="I29" i="1"/>
  <c r="G29" i="1"/>
  <c r="E29" i="1"/>
  <c r="B29" i="1"/>
  <c r="I27" i="1"/>
  <c r="G27" i="1"/>
  <c r="G22" i="1"/>
  <c r="I22" i="1"/>
  <c r="E27" i="1"/>
  <c r="E22" i="1"/>
  <c r="C27" i="1"/>
  <c r="B27" i="1"/>
  <c r="C24" i="1"/>
  <c r="C25" i="1"/>
  <c r="B25" i="1"/>
  <c r="B24" i="1"/>
  <c r="C22" i="1"/>
  <c r="B22" i="1"/>
  <c r="N14" i="1"/>
  <c r="L12" i="1"/>
  <c r="M12" i="1"/>
  <c r="M13" i="1"/>
  <c r="M14" i="1"/>
  <c r="N12" i="1"/>
  <c r="O12" i="1"/>
  <c r="N13" i="1"/>
  <c r="O13" i="1"/>
  <c r="O14" i="1"/>
  <c r="B12" i="1"/>
  <c r="B14" i="1"/>
  <c r="E14" i="1"/>
  <c r="E12" i="1"/>
  <c r="E9" i="1"/>
  <c r="E8" i="1"/>
  <c r="E7" i="1"/>
  <c r="H7" i="1"/>
  <c r="F7" i="1"/>
  <c r="F3" i="1"/>
  <c r="F4" i="1"/>
  <c r="I3" i="1"/>
  <c r="O3" i="1"/>
  <c r="L3" i="1"/>
</calcChain>
</file>

<file path=xl/sharedStrings.xml><?xml version="1.0" encoding="utf-8"?>
<sst xmlns="http://schemas.openxmlformats.org/spreadsheetml/2006/main" count="225" uniqueCount="103">
  <si>
    <t>Stoichiometry calculations for weights of carbon etc.</t>
  </si>
  <si>
    <t>A gallon of gasoline weighs</t>
  </si>
  <si>
    <t xml:space="preserve">   +</t>
  </si>
  <si>
    <t xml:space="preserve">   =</t>
  </si>
  <si>
    <t>A gallon of water weighs</t>
  </si>
  <si>
    <t xml:space="preserve">CO2 tailpipe from a gallon of gasoline </t>
  </si>
  <si>
    <t>http://www.eia.gov/tools/faqs/faq.cfm?id=307&amp;t=11</t>
  </si>
  <si>
    <t>Carbon Atomic Weight</t>
  </si>
  <si>
    <t>O2</t>
  </si>
  <si>
    <t>C</t>
  </si>
  <si>
    <t>Oxygen Atomic Weight</t>
  </si>
  <si>
    <t>Hydrogen Atomic Weight</t>
  </si>
  <si>
    <t>Upstream emissions for a gallon of gasoline</t>
  </si>
  <si>
    <t># of atoms</t>
  </si>
  <si>
    <t>Type</t>
  </si>
  <si>
    <t>Exploration + drilling +transport + refining + trucking</t>
  </si>
  <si>
    <t>H</t>
  </si>
  <si>
    <t>Total emissions for a gallon of gasoline</t>
  </si>
  <si>
    <t>Totals</t>
  </si>
  <si>
    <t>Octane Rings are made of: C8 H18</t>
  </si>
  <si>
    <t>A gallon of Gasoline Weighs</t>
  </si>
  <si>
    <t>Carbon</t>
  </si>
  <si>
    <t>Hydrogen</t>
  </si>
  <si>
    <t>Simulated by</t>
  </si>
  <si>
    <t>Volume in Water gallons</t>
  </si>
  <si>
    <t>Gallons =</t>
  </si>
  <si>
    <t>Upstream CO2 emissions are</t>
  </si>
  <si>
    <t>Quarts =</t>
  </si>
  <si>
    <t>Quarts and</t>
  </si>
  <si>
    <t>lbs./gal</t>
  </si>
  <si>
    <t>lbs. C =</t>
  </si>
  <si>
    <t>lbs. C/gal</t>
  </si>
  <si>
    <t>lbs. O2</t>
  </si>
  <si>
    <t>lbs. CO2</t>
  </si>
  <si>
    <t>gallons water wt.</t>
  </si>
  <si>
    <t>lbs. Hydrogen etc.</t>
  </si>
  <si>
    <t>lbs. H and O/gal</t>
  </si>
  <si>
    <t>Atomic Wt.</t>
  </si>
  <si>
    <t>Molecular Wt.</t>
  </si>
  <si>
    <t>lb./gal</t>
  </si>
  <si>
    <t>lbs. upstream</t>
  </si>
  <si>
    <t>lb. Carbon/gal</t>
  </si>
  <si>
    <t>lb. Hydrogen/gal</t>
  </si>
  <si>
    <t>lb. gasoline/gal</t>
  </si>
  <si>
    <t>Summarizing:</t>
  </si>
  <si>
    <t>lb. Water</t>
  </si>
  <si>
    <t>oz.</t>
  </si>
  <si>
    <t>Total</t>
  </si>
  <si>
    <t>It is primarily made of</t>
  </si>
  <si>
    <t xml:space="preserve">When combusted Gasoline combines with </t>
  </si>
  <si>
    <t>From the air</t>
  </si>
  <si>
    <t>Liquid Oz   =</t>
  </si>
  <si>
    <t>Pounds of chemicals</t>
  </si>
  <si>
    <t>Pounds of Water</t>
  </si>
  <si>
    <t>Gallons of Water</t>
  </si>
  <si>
    <t>Liquid Ounces of Water</t>
  </si>
  <si>
    <t>Quarts of Water</t>
  </si>
  <si>
    <t>Quarts and Liquid Ounces of Water</t>
  </si>
  <si>
    <t>H2O    =</t>
  </si>
  <si>
    <t>H   +</t>
  </si>
  <si>
    <t>One  O</t>
  </si>
  <si>
    <t xml:space="preserve"> =</t>
  </si>
  <si>
    <t>by weight</t>
  </si>
  <si>
    <t>lbs H2 per gal gasoline</t>
  </si>
  <si>
    <t>Lb. O2 from Air</t>
  </si>
  <si>
    <t>additional lb water CREATED from burning a gallon of gasoline</t>
  </si>
  <si>
    <t>Gallons of tailpipe Water Created by burning a gallon of gasoline</t>
  </si>
  <si>
    <t>What is the lb. CO2/lb. gasoline</t>
  </si>
  <si>
    <t>Tailpipe</t>
  </si>
  <si>
    <t>Upstream</t>
  </si>
  <si>
    <t>What is the lb. CO2/Gallon gasoline</t>
  </si>
  <si>
    <t>What is the lb. O2 lost /lb. gasoline</t>
  </si>
  <si>
    <t>Percent wt of O2</t>
  </si>
  <si>
    <t>Percent wt of C</t>
  </si>
  <si>
    <t>CO2 Molec. Wt.</t>
  </si>
  <si>
    <t>O2 Molec. Wt.</t>
  </si>
  <si>
    <t>H20 Molec. Wt.</t>
  </si>
  <si>
    <t>A Them of Natural Gas weighs</t>
  </si>
  <si>
    <t>.6797 kg/m^3</t>
  </si>
  <si>
    <t>lb/ft^3</t>
  </si>
  <si>
    <t>lbs./therm</t>
  </si>
  <si>
    <t xml:space="preserve">CO2 tailpipe from a therm </t>
  </si>
  <si>
    <t>kg C / MM Btu</t>
  </si>
  <si>
    <t>lbC/th</t>
  </si>
  <si>
    <t>lbs. C/th</t>
  </si>
  <si>
    <t>Upstream emissions for a Therm</t>
  </si>
  <si>
    <t>Shrinkage through turbine consuption</t>
  </si>
  <si>
    <t>Losses through leakage</t>
  </si>
  <si>
    <t>GWP</t>
  </si>
  <si>
    <t>Exploration + drilling +transport + piping</t>
  </si>
  <si>
    <t>Total emissions for a Therm</t>
  </si>
  <si>
    <t>lbs./th</t>
  </si>
  <si>
    <t>A Therm of Methane Gas Weighs</t>
  </si>
  <si>
    <t>lbs CO2</t>
  </si>
  <si>
    <t>lbs CO2e</t>
  </si>
  <si>
    <t xml:space="preserve">When combusted Methane combines with </t>
  </si>
  <si>
    <t>lbs. H /therm</t>
  </si>
  <si>
    <t>lbs. Hydrogen</t>
  </si>
  <si>
    <t>lbs. Carbon C =</t>
  </si>
  <si>
    <t>gallons water weight at tailpipe</t>
  </si>
  <si>
    <t>Methane is made of one Carbon and four Hydrogen atoms</t>
  </si>
  <si>
    <t>A Therm is 100,000 British Thermal Units</t>
  </si>
  <si>
    <t>A therm of Natual gas is ~ 100 cubif feet at atmospheric pressure and normal temperatures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</si>
</sst>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 val="singleAccounting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43" fontId="0" fillId="0" borderId="0" xfId="1" applyFont="1"/>
    <xf numFmtId="9" fontId="0" fillId="0" borderId="0" xfId="2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5" xfId="0" applyBorder="1"/>
    <xf numFmtId="9" fontId="0" fillId="0" borderId="0" xfId="2" applyFont="1" applyBorder="1"/>
    <xf numFmtId="43" fontId="0" fillId="0" borderId="0" xfId="1" applyFont="1" applyBorder="1"/>
    <xf numFmtId="0" fontId="2" fillId="0" borderId="0" xfId="0" applyFont="1" applyBorder="1"/>
    <xf numFmtId="43" fontId="3" fillId="0" borderId="0" xfId="1" applyFont="1" applyBorder="1"/>
    <xf numFmtId="166" fontId="0" fillId="0" borderId="0" xfId="0" applyNumberFormat="1"/>
    <xf numFmtId="0" fontId="0" fillId="0" borderId="6" xfId="0" applyBorder="1"/>
    <xf numFmtId="0" fontId="0" fillId="0" borderId="7" xfId="0" applyBorder="1"/>
    <xf numFmtId="43" fontId="0" fillId="0" borderId="7" xfId="0" applyNumberFormat="1" applyBorder="1"/>
    <xf numFmtId="0" fontId="0" fillId="0" borderId="8" xfId="0" applyBorder="1"/>
    <xf numFmtId="9" fontId="2" fillId="0" borderId="0" xfId="2" applyFont="1" applyBorder="1"/>
    <xf numFmtId="9" fontId="0" fillId="0" borderId="7" xfId="2" applyFont="1" applyBorder="1"/>
    <xf numFmtId="164" fontId="0" fillId="0" borderId="4" xfId="0" applyNumberFormat="1" applyBorder="1"/>
    <xf numFmtId="0" fontId="0" fillId="0" borderId="4" xfId="0" applyBorder="1" applyAlignment="1">
      <alignment horizontal="right"/>
    </xf>
    <xf numFmtId="164" fontId="0" fillId="0" borderId="0" xfId="0" applyNumberFormat="1" applyBorder="1"/>
    <xf numFmtId="43" fontId="0" fillId="0" borderId="0" xfId="0" applyNumberFormat="1" applyBorder="1"/>
    <xf numFmtId="43" fontId="0" fillId="0" borderId="4" xfId="1" applyFont="1" applyBorder="1"/>
    <xf numFmtId="43" fontId="0" fillId="0" borderId="4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2" applyNumberFormat="1" applyFont="1"/>
    <xf numFmtId="43" fontId="0" fillId="0" borderId="0" xfId="1" applyNumberFormat="1" applyFont="1"/>
    <xf numFmtId="9" fontId="2" fillId="0" borderId="0" xfId="2" applyFont="1"/>
  </cellXfs>
  <cellStyles count="4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B31" sqref="B31"/>
    </sheetView>
  </sheetViews>
  <sheetFormatPr baseColWidth="10" defaultRowHeight="15" x14ac:dyDescent="0"/>
  <cols>
    <col min="1" max="1" width="36.6640625" customWidth="1"/>
    <col min="2" max="2" width="7" bestFit="1" customWidth="1"/>
    <col min="3" max="3" width="6.83203125" customWidth="1"/>
    <col min="9" max="9" width="9.6640625" customWidth="1"/>
    <col min="11" max="11" width="6.6640625" customWidth="1"/>
    <col min="12" max="12" width="9" customWidth="1"/>
    <col min="13" max="13" width="7.6640625" customWidth="1"/>
    <col min="15" max="15" width="6.33203125" bestFit="1" customWidth="1"/>
    <col min="16" max="16" width="15.1640625" bestFit="1" customWidth="1"/>
    <col min="17" max="17" width="2.6640625" customWidth="1"/>
  </cols>
  <sheetData>
    <row r="1" spans="1:18">
      <c r="A1" t="s">
        <v>0</v>
      </c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 t="s">
        <v>1</v>
      </c>
      <c r="B3">
        <v>6.3</v>
      </c>
      <c r="C3" t="s">
        <v>29</v>
      </c>
      <c r="E3" s="2" t="s">
        <v>30</v>
      </c>
      <c r="F3" s="3">
        <f>H7*B5</f>
        <v>5.3563636363636364</v>
      </c>
      <c r="G3" t="s">
        <v>31</v>
      </c>
      <c r="H3" s="37" t="s">
        <v>2</v>
      </c>
      <c r="I3" s="3">
        <f>B5-F3</f>
        <v>14.283636363636365</v>
      </c>
      <c r="J3" t="s">
        <v>32</v>
      </c>
      <c r="K3" t="s">
        <v>3</v>
      </c>
      <c r="L3" s="4">
        <f>F3+I3</f>
        <v>19.64</v>
      </c>
      <c r="M3" t="s">
        <v>33</v>
      </c>
      <c r="O3" s="5">
        <f>I3/8.34</f>
        <v>1.7126662306518423</v>
      </c>
      <c r="P3" t="s">
        <v>34</v>
      </c>
      <c r="R3" s="1"/>
    </row>
    <row r="4" spans="1:18">
      <c r="A4" s="2" t="s">
        <v>4</v>
      </c>
      <c r="B4">
        <v>8.34</v>
      </c>
      <c r="C4" t="s">
        <v>29</v>
      </c>
      <c r="E4" s="2" t="s">
        <v>35</v>
      </c>
      <c r="F4" s="5">
        <f>B3-F3</f>
        <v>0.94363636363636338</v>
      </c>
      <c r="G4" t="s">
        <v>36</v>
      </c>
      <c r="R4" s="1"/>
    </row>
    <row r="5" spans="1:18">
      <c r="A5" s="2" t="s">
        <v>5</v>
      </c>
      <c r="B5" s="6">
        <v>19.64</v>
      </c>
      <c r="C5" t="s">
        <v>29</v>
      </c>
      <c r="D5" s="7"/>
      <c r="L5" t="s">
        <v>6</v>
      </c>
      <c r="R5" s="1"/>
    </row>
    <row r="6" spans="1:18">
      <c r="A6" s="2"/>
      <c r="F6" t="s">
        <v>72</v>
      </c>
      <c r="H6" t="s">
        <v>73</v>
      </c>
      <c r="R6" s="1"/>
    </row>
    <row r="7" spans="1:18">
      <c r="A7" s="2" t="s">
        <v>7</v>
      </c>
      <c r="B7">
        <v>12</v>
      </c>
      <c r="D7" s="2" t="s">
        <v>74</v>
      </c>
      <c r="E7">
        <f>B7+E8</f>
        <v>44</v>
      </c>
      <c r="F7" s="8">
        <f>2*B8/E7</f>
        <v>0.72727272727272729</v>
      </c>
      <c r="G7" t="s">
        <v>8</v>
      </c>
      <c r="H7" s="8">
        <f>B7/E7</f>
        <v>0.27272727272727271</v>
      </c>
      <c r="I7" t="s">
        <v>9</v>
      </c>
      <c r="R7" s="1"/>
    </row>
    <row r="8" spans="1:18">
      <c r="A8" s="2" t="s">
        <v>10</v>
      </c>
      <c r="B8">
        <v>16</v>
      </c>
      <c r="D8" s="2" t="s">
        <v>75</v>
      </c>
      <c r="E8">
        <f>B8*2</f>
        <v>32</v>
      </c>
      <c r="R8" s="1"/>
    </row>
    <row r="9" spans="1:18">
      <c r="A9" s="2" t="s">
        <v>11</v>
      </c>
      <c r="B9">
        <v>1</v>
      </c>
      <c r="D9" s="2" t="s">
        <v>76</v>
      </c>
      <c r="E9">
        <f>2*B9+B8</f>
        <v>18</v>
      </c>
      <c r="R9" s="1"/>
    </row>
    <row r="10" spans="1:18">
      <c r="A10" s="2"/>
      <c r="J10" s="9"/>
      <c r="K10" s="10" t="s">
        <v>19</v>
      </c>
      <c r="L10" s="10"/>
      <c r="M10" s="10"/>
      <c r="N10" s="10"/>
      <c r="O10" s="10"/>
      <c r="P10" s="10"/>
      <c r="Q10" s="11"/>
      <c r="R10" s="1"/>
    </row>
    <row r="11" spans="1:18">
      <c r="A11" s="2" t="s">
        <v>12</v>
      </c>
      <c r="B11" s="8">
        <v>0.3</v>
      </c>
      <c r="J11" s="12" t="s">
        <v>13</v>
      </c>
      <c r="K11" s="13" t="s">
        <v>14</v>
      </c>
      <c r="L11" s="13" t="s">
        <v>37</v>
      </c>
      <c r="M11" s="14" t="s">
        <v>38</v>
      </c>
      <c r="N11" s="13"/>
      <c r="O11" s="15" t="s">
        <v>39</v>
      </c>
      <c r="P11" s="13"/>
      <c r="Q11" s="16"/>
      <c r="R11" s="1"/>
    </row>
    <row r="12" spans="1:18">
      <c r="A12" s="2" t="s">
        <v>15</v>
      </c>
      <c r="B12" s="3">
        <f>ROUND(B5*B11,1)</f>
        <v>5.9</v>
      </c>
      <c r="C12" t="s">
        <v>40</v>
      </c>
      <c r="E12" s="5">
        <f>B12/8.34</f>
        <v>0.70743405275779381</v>
      </c>
      <c r="F12" t="s">
        <v>34</v>
      </c>
      <c r="J12" s="12">
        <v>8</v>
      </c>
      <c r="K12" s="15" t="s">
        <v>9</v>
      </c>
      <c r="L12" s="13">
        <f>B7</f>
        <v>12</v>
      </c>
      <c r="M12" s="13">
        <f>J12*L12</f>
        <v>96</v>
      </c>
      <c r="N12" s="17">
        <f>M12/M14</f>
        <v>0.84210526315789469</v>
      </c>
      <c r="O12" s="18">
        <f>N12*B$3</f>
        <v>5.3052631578947365</v>
      </c>
      <c r="P12" s="13" t="s">
        <v>41</v>
      </c>
      <c r="Q12" s="16"/>
      <c r="R12" s="1"/>
    </row>
    <row r="13" spans="1:18" ht="18">
      <c r="A13" s="2"/>
      <c r="J13" s="12">
        <v>18</v>
      </c>
      <c r="K13" s="15" t="s">
        <v>16</v>
      </c>
      <c r="L13" s="13">
        <v>1</v>
      </c>
      <c r="M13" s="19">
        <f>J13*L13</f>
        <v>18</v>
      </c>
      <c r="N13" s="26">
        <f>M13/M14</f>
        <v>0.15789473684210525</v>
      </c>
      <c r="O13" s="20">
        <f>N13*B$3</f>
        <v>0.99473684210526303</v>
      </c>
      <c r="P13" s="13" t="s">
        <v>42</v>
      </c>
      <c r="Q13" s="16"/>
      <c r="R13" s="1"/>
    </row>
    <row r="14" spans="1:18">
      <c r="A14" s="2" t="s">
        <v>17</v>
      </c>
      <c r="B14" s="21">
        <f>ROUND(B5+B12,0)</f>
        <v>26</v>
      </c>
      <c r="C14" t="s">
        <v>29</v>
      </c>
      <c r="E14" s="5">
        <f>B14/8.34</f>
        <v>3.1175059952038371</v>
      </c>
      <c r="F14" t="s">
        <v>34</v>
      </c>
      <c r="J14" s="22" t="s">
        <v>18</v>
      </c>
      <c r="K14" s="23"/>
      <c r="L14" s="23"/>
      <c r="M14" s="23">
        <f>M12+M13</f>
        <v>114</v>
      </c>
      <c r="N14" s="27">
        <f>N12+N13</f>
        <v>1</v>
      </c>
      <c r="O14" s="24">
        <f>+O12+O13</f>
        <v>6.3</v>
      </c>
      <c r="P14" s="23" t="s">
        <v>43</v>
      </c>
      <c r="Q14" s="25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8" spans="1:16">
      <c r="B18" t="s">
        <v>52</v>
      </c>
      <c r="E18" t="s">
        <v>53</v>
      </c>
      <c r="G18" t="s">
        <v>54</v>
      </c>
      <c r="I18" t="s">
        <v>55</v>
      </c>
      <c r="K18" t="s">
        <v>56</v>
      </c>
      <c r="M18" t="s">
        <v>57</v>
      </c>
    </row>
    <row r="19" spans="1:16">
      <c r="A19" s="9"/>
      <c r="B19" s="10"/>
      <c r="C19" s="10"/>
      <c r="D19" s="11"/>
      <c r="G19" s="9"/>
      <c r="H19" s="11"/>
      <c r="K19" s="9"/>
      <c r="L19" s="11"/>
    </row>
    <row r="20" spans="1:16">
      <c r="A20" s="12" t="s">
        <v>44</v>
      </c>
      <c r="B20" s="13"/>
      <c r="C20" s="13"/>
      <c r="D20" s="16"/>
      <c r="E20" s="9"/>
      <c r="F20" s="11"/>
      <c r="G20" s="12"/>
      <c r="H20" s="16"/>
      <c r="I20" s="9"/>
      <c r="J20" s="11"/>
      <c r="K20" s="12"/>
      <c r="L20" s="16"/>
      <c r="M20" s="9"/>
      <c r="N20" s="10"/>
      <c r="O20" s="10"/>
      <c r="P20" s="11"/>
    </row>
    <row r="21" spans="1:16">
      <c r="A21" s="12"/>
      <c r="B21" s="13"/>
      <c r="C21" s="13"/>
      <c r="D21" s="16"/>
      <c r="E21" s="12" t="s">
        <v>23</v>
      </c>
      <c r="F21" s="16"/>
      <c r="G21" s="12" t="s">
        <v>24</v>
      </c>
      <c r="H21" s="16"/>
      <c r="I21" s="12"/>
      <c r="J21" s="16"/>
      <c r="K21" s="12"/>
      <c r="L21" s="16"/>
      <c r="M21" s="12"/>
      <c r="N21" s="13"/>
      <c r="O21" s="13"/>
      <c r="P21" s="16"/>
    </row>
    <row r="22" spans="1:16">
      <c r="A22" s="29" t="s">
        <v>20</v>
      </c>
      <c r="B22" s="13">
        <f>B3</f>
        <v>6.3</v>
      </c>
      <c r="C22" s="13" t="str">
        <f>C3</f>
        <v>lbs./gal</v>
      </c>
      <c r="D22" s="16"/>
      <c r="E22" s="12">
        <f>B22</f>
        <v>6.3</v>
      </c>
      <c r="F22" s="16" t="s">
        <v>45</v>
      </c>
      <c r="G22" s="32">
        <f>E22/B$4</f>
        <v>0.75539568345323738</v>
      </c>
      <c r="H22" s="16" t="s">
        <v>25</v>
      </c>
      <c r="I22" s="34">
        <f>G22*128</f>
        <v>96.690647482014384</v>
      </c>
      <c r="J22" s="16" t="s">
        <v>51</v>
      </c>
      <c r="K22" s="33">
        <f>I22/32</f>
        <v>3.0215827338129495</v>
      </c>
      <c r="L22" s="16" t="s">
        <v>27</v>
      </c>
      <c r="M22" s="33">
        <f>ROUNDDOWN(K22,0)</f>
        <v>3</v>
      </c>
      <c r="N22" s="13" t="s">
        <v>28</v>
      </c>
      <c r="O22" s="35">
        <f>(K22-M22)*32</f>
        <v>0.6906474820143842</v>
      </c>
      <c r="P22" s="16" t="s">
        <v>46</v>
      </c>
    </row>
    <row r="23" spans="1:16">
      <c r="A23" s="29" t="s">
        <v>48</v>
      </c>
      <c r="B23" s="13"/>
      <c r="C23" s="13"/>
      <c r="D23" s="16"/>
      <c r="E23" s="12"/>
      <c r="F23" s="16"/>
      <c r="G23" s="12"/>
      <c r="H23" s="16"/>
      <c r="I23" s="12"/>
      <c r="J23" s="16"/>
      <c r="K23" s="12"/>
      <c r="L23" s="16"/>
      <c r="M23" s="12"/>
      <c r="N23" s="13"/>
      <c r="O23" s="13"/>
      <c r="P23" s="16"/>
    </row>
    <row r="24" spans="1:16">
      <c r="A24" s="29" t="s">
        <v>21</v>
      </c>
      <c r="B24" s="30">
        <f>F3</f>
        <v>5.3563636363636364</v>
      </c>
      <c r="C24" s="30" t="str">
        <f>G3</f>
        <v>lbs. C/gal</v>
      </c>
      <c r="D24" s="16"/>
      <c r="E24" s="12"/>
      <c r="F24" s="16"/>
      <c r="G24" s="12"/>
      <c r="H24" s="16"/>
      <c r="I24" s="12"/>
      <c r="J24" s="16"/>
      <c r="K24" s="12"/>
      <c r="L24" s="16"/>
      <c r="M24" s="12"/>
      <c r="N24" s="13"/>
      <c r="O24" s="13"/>
      <c r="P24" s="16"/>
    </row>
    <row r="25" spans="1:16">
      <c r="A25" s="29" t="s">
        <v>22</v>
      </c>
      <c r="B25" s="31">
        <f>F4</f>
        <v>0.94363636363636338</v>
      </c>
      <c r="C25" s="31" t="str">
        <f>G4</f>
        <v>lbs. H and O/gal</v>
      </c>
      <c r="D25" s="16"/>
      <c r="E25" s="12"/>
      <c r="F25" s="16"/>
      <c r="G25" s="12"/>
      <c r="H25" s="16"/>
      <c r="I25" s="12"/>
      <c r="J25" s="16"/>
      <c r="K25" s="12"/>
      <c r="L25" s="16"/>
      <c r="M25" s="12"/>
      <c r="N25" s="13"/>
      <c r="O25" s="13"/>
      <c r="P25" s="16"/>
    </row>
    <row r="26" spans="1:16">
      <c r="A26" s="29"/>
      <c r="B26" s="13"/>
      <c r="C26" s="13"/>
      <c r="D26" s="16"/>
      <c r="E26" s="12"/>
      <c r="F26" s="16"/>
      <c r="G26" s="12"/>
      <c r="H26" s="16"/>
      <c r="I26" s="12"/>
      <c r="J26" s="16"/>
      <c r="K26" s="12"/>
      <c r="L26" s="16"/>
      <c r="M26" s="12"/>
      <c r="N26" s="13"/>
      <c r="O26" s="13"/>
      <c r="P26" s="16"/>
    </row>
    <row r="27" spans="1:16">
      <c r="A27" s="29" t="s">
        <v>49</v>
      </c>
      <c r="B27" s="30">
        <f>I3</f>
        <v>14.283636363636365</v>
      </c>
      <c r="C27" s="30" t="str">
        <f>J3</f>
        <v>lbs. O2</v>
      </c>
      <c r="D27" s="16" t="s">
        <v>50</v>
      </c>
      <c r="E27" s="28">
        <f>B27</f>
        <v>14.283636363636365</v>
      </c>
      <c r="F27" s="16" t="s">
        <v>45</v>
      </c>
      <c r="G27" s="32">
        <f>E27/B$4</f>
        <v>1.7126662306518423</v>
      </c>
      <c r="H27" s="16" t="s">
        <v>25</v>
      </c>
      <c r="I27" s="34">
        <f>G27*128</f>
        <v>219.22127752343582</v>
      </c>
      <c r="J27" s="16" t="s">
        <v>51</v>
      </c>
      <c r="K27" s="33">
        <f>I27/32</f>
        <v>6.8506649226073693</v>
      </c>
      <c r="L27" s="16" t="s">
        <v>27</v>
      </c>
      <c r="M27" s="33">
        <f>ROUNDDOWN(K27,0)</f>
        <v>6</v>
      </c>
      <c r="N27" s="13" t="s">
        <v>28</v>
      </c>
      <c r="O27" s="35">
        <f>(K27-M27)*32</f>
        <v>27.221277523435816</v>
      </c>
      <c r="P27" s="16" t="s">
        <v>46</v>
      </c>
    </row>
    <row r="28" spans="1:16">
      <c r="A28" s="29"/>
      <c r="B28" s="13"/>
      <c r="C28" s="13"/>
      <c r="D28" s="16"/>
      <c r="E28" s="12"/>
      <c r="F28" s="16"/>
      <c r="G28" s="12"/>
      <c r="H28" s="16"/>
      <c r="I28" s="12"/>
      <c r="J28" s="16"/>
      <c r="K28" s="12"/>
      <c r="L28" s="16"/>
      <c r="M28" s="12"/>
      <c r="N28" s="13"/>
      <c r="O28" s="13"/>
      <c r="P28" s="16"/>
    </row>
    <row r="29" spans="1:16">
      <c r="A29" s="29" t="s">
        <v>26</v>
      </c>
      <c r="B29" s="30">
        <f>B12</f>
        <v>5.9</v>
      </c>
      <c r="C29" s="13" t="s">
        <v>33</v>
      </c>
      <c r="D29" s="16"/>
      <c r="E29" s="28">
        <f>B29</f>
        <v>5.9</v>
      </c>
      <c r="F29" s="16" t="s">
        <v>45</v>
      </c>
      <c r="G29" s="32">
        <f>E29/B$4</f>
        <v>0.70743405275779381</v>
      </c>
      <c r="H29" s="16" t="s">
        <v>25</v>
      </c>
      <c r="I29" s="34">
        <f>G29*128</f>
        <v>90.551558752997607</v>
      </c>
      <c r="J29" s="16" t="s">
        <v>51</v>
      </c>
      <c r="K29" s="33">
        <f>I29/32</f>
        <v>2.8297362110311752</v>
      </c>
      <c r="L29" s="16" t="s">
        <v>27</v>
      </c>
      <c r="M29" s="33">
        <f>ROUNDDOWN(K29,0)</f>
        <v>2</v>
      </c>
      <c r="N29" s="13" t="s">
        <v>28</v>
      </c>
      <c r="O29" s="35">
        <f>(K29-M29)*32</f>
        <v>26.551558752997607</v>
      </c>
      <c r="P29" s="16" t="s">
        <v>46</v>
      </c>
    </row>
    <row r="30" spans="1:16">
      <c r="A30" s="12"/>
      <c r="B30" s="13"/>
      <c r="C30" s="13"/>
      <c r="D30" s="16"/>
      <c r="E30" s="12"/>
      <c r="F30" s="16"/>
      <c r="G30" s="12"/>
      <c r="H30" s="16"/>
      <c r="I30" s="12"/>
      <c r="J30" s="16"/>
      <c r="K30" s="12"/>
      <c r="L30" s="16"/>
      <c r="M30" s="12"/>
      <c r="N30" s="13"/>
      <c r="O30" s="13"/>
      <c r="P30" s="16"/>
    </row>
    <row r="31" spans="1:16">
      <c r="A31" s="29" t="s">
        <v>47</v>
      </c>
      <c r="B31" s="30">
        <f>B22+B27+B29</f>
        <v>26.483636363636364</v>
      </c>
      <c r="C31" s="13" t="s">
        <v>33</v>
      </c>
      <c r="D31" s="16"/>
      <c r="E31" s="28">
        <f>E22+E27+E29</f>
        <v>26.483636363636364</v>
      </c>
      <c r="F31" s="16" t="s">
        <v>45</v>
      </c>
      <c r="G31" s="33">
        <f>G22+G27+G29</f>
        <v>3.1754959668628735</v>
      </c>
      <c r="H31" s="16" t="s">
        <v>25</v>
      </c>
      <c r="I31" s="34">
        <f>G31*128</f>
        <v>406.46348375844781</v>
      </c>
      <c r="J31" s="16" t="s">
        <v>51</v>
      </c>
      <c r="K31" s="33">
        <f>I31/32</f>
        <v>12.701983867451494</v>
      </c>
      <c r="L31" s="16" t="s">
        <v>27</v>
      </c>
      <c r="M31" s="33">
        <f>ROUNDDOWN(K31,0)</f>
        <v>12</v>
      </c>
      <c r="N31" s="13" t="s">
        <v>28</v>
      </c>
      <c r="O31" s="35">
        <f>(K31-M31)*32</f>
        <v>22.463483758447808</v>
      </c>
      <c r="P31" s="16" t="s">
        <v>46</v>
      </c>
    </row>
    <row r="32" spans="1:16">
      <c r="A32" s="12"/>
      <c r="B32" s="13"/>
      <c r="C32" s="13"/>
      <c r="D32" s="16"/>
      <c r="E32" s="12"/>
      <c r="F32" s="16"/>
      <c r="G32" s="12"/>
      <c r="H32" s="16"/>
      <c r="I32" s="12"/>
      <c r="J32" s="16"/>
      <c r="K32" s="12"/>
      <c r="L32" s="16"/>
      <c r="M32" s="12"/>
      <c r="N32" s="13"/>
      <c r="O32" s="13"/>
      <c r="P32" s="16"/>
    </row>
    <row r="33" spans="1:16">
      <c r="A33" s="12"/>
      <c r="B33" s="13"/>
      <c r="C33" s="13"/>
      <c r="D33" s="16"/>
      <c r="E33" s="22"/>
      <c r="F33" s="25"/>
      <c r="G33" s="12"/>
      <c r="H33" s="16"/>
      <c r="I33" s="22"/>
      <c r="J33" s="25"/>
      <c r="K33" s="12"/>
      <c r="L33" s="16"/>
      <c r="M33" s="22"/>
      <c r="N33" s="23"/>
      <c r="O33" s="23"/>
      <c r="P33" s="25"/>
    </row>
    <row r="34" spans="1:16">
      <c r="A34" s="22"/>
      <c r="B34" s="23"/>
      <c r="C34" s="23"/>
      <c r="D34" s="25"/>
      <c r="G34" s="22"/>
      <c r="H34" s="25"/>
      <c r="K34" s="22"/>
      <c r="L34" s="25"/>
    </row>
    <row r="38" spans="1:16">
      <c r="E38" s="2" t="str">
        <f t="shared" ref="E38:G38" si="0">E4</f>
        <v>lbs. Hydrogen etc.</v>
      </c>
      <c r="F38" s="7">
        <f t="shared" si="0"/>
        <v>0.94363636363636338</v>
      </c>
      <c r="G38" t="str">
        <f t="shared" si="0"/>
        <v>lbs. H and O/gal</v>
      </c>
    </row>
    <row r="40" spans="1:16">
      <c r="D40" t="s">
        <v>58</v>
      </c>
      <c r="E40">
        <v>2</v>
      </c>
      <c r="F40" s="37" t="s">
        <v>59</v>
      </c>
      <c r="G40" s="2" t="s">
        <v>60</v>
      </c>
    </row>
    <row r="41" spans="1:16">
      <c r="D41" t="s">
        <v>3</v>
      </c>
      <c r="E41">
        <v>2</v>
      </c>
      <c r="F41">
        <v>1</v>
      </c>
      <c r="G41">
        <f>B8</f>
        <v>16</v>
      </c>
    </row>
    <row r="42" spans="1:16">
      <c r="D42" t="s">
        <v>3</v>
      </c>
      <c r="F42">
        <f>E41*F41</f>
        <v>2</v>
      </c>
      <c r="G42">
        <f>G41</f>
        <v>16</v>
      </c>
      <c r="H42" t="s">
        <v>61</v>
      </c>
      <c r="I42">
        <f>F42+G42</f>
        <v>18</v>
      </c>
    </row>
    <row r="43" spans="1:16">
      <c r="F43" s="8">
        <f>F42/I42</f>
        <v>0.1111111111111111</v>
      </c>
      <c r="G43" s="8">
        <f>G42/I42</f>
        <v>0.88888888888888884</v>
      </c>
      <c r="H43" t="s">
        <v>62</v>
      </c>
      <c r="I43" s="8">
        <f>I42/I42</f>
        <v>1</v>
      </c>
    </row>
    <row r="44" spans="1:16">
      <c r="F44" s="2" t="s">
        <v>63</v>
      </c>
      <c r="G44" t="s">
        <v>64</v>
      </c>
    </row>
    <row r="45" spans="1:16">
      <c r="F45" s="5">
        <f>F38</f>
        <v>0.94363636363636338</v>
      </c>
      <c r="G45" s="5">
        <f>(G43/F43)*F45</f>
        <v>7.5490909090909071</v>
      </c>
      <c r="I45" s="5">
        <f>F45+G45</f>
        <v>8.4927272727272705</v>
      </c>
      <c r="J45" t="s">
        <v>65</v>
      </c>
    </row>
    <row r="46" spans="1:16">
      <c r="I46" s="5">
        <f>I45/B4</f>
        <v>1.0183126226291692</v>
      </c>
      <c r="J46" t="s">
        <v>66</v>
      </c>
    </row>
    <row r="47" spans="1:16">
      <c r="B47" t="s">
        <v>68</v>
      </c>
      <c r="D47" t="s">
        <v>69</v>
      </c>
      <c r="E47" t="s">
        <v>47</v>
      </c>
    </row>
    <row r="48" spans="1:16">
      <c r="A48" t="s">
        <v>67</v>
      </c>
      <c r="B48" s="6">
        <f>B5/B3</f>
        <v>3.1174603174603175</v>
      </c>
      <c r="D48" s="5">
        <f>B29/B22</f>
        <v>0.93650793650793662</v>
      </c>
      <c r="E48" s="5">
        <f>B48+D48</f>
        <v>4.0539682539682538</v>
      </c>
    </row>
    <row r="49" spans="1:2">
      <c r="A49" t="s">
        <v>70</v>
      </c>
    </row>
    <row r="50" spans="1:2">
      <c r="A50" t="s">
        <v>71</v>
      </c>
      <c r="B50" s="5">
        <f>(B27/B22)+G45/B22</f>
        <v>3.4655122655122654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I4" sqref="I4"/>
    </sheetView>
  </sheetViews>
  <sheetFormatPr baseColWidth="10" defaultRowHeight="15" x14ac:dyDescent="0"/>
  <cols>
    <col min="1" max="1" width="36.6640625" customWidth="1"/>
    <col min="2" max="2" width="7" bestFit="1" customWidth="1"/>
    <col min="3" max="3" width="6.83203125" customWidth="1"/>
    <col min="9" max="9" width="9.6640625" customWidth="1"/>
    <col min="11" max="11" width="6.6640625" customWidth="1"/>
    <col min="12" max="12" width="9" customWidth="1"/>
    <col min="13" max="13" width="7.6640625" customWidth="1"/>
    <col min="15" max="15" width="6.33203125" bestFit="1" customWidth="1"/>
    <col min="16" max="16" width="15.1640625" bestFit="1" customWidth="1"/>
    <col min="17" max="17" width="2.6640625" customWidth="1"/>
  </cols>
  <sheetData>
    <row r="1" spans="1:18">
      <c r="A1" t="s">
        <v>0</v>
      </c>
      <c r="E1" t="s">
        <v>101</v>
      </c>
      <c r="I1" t="s">
        <v>102</v>
      </c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 t="s">
        <v>77</v>
      </c>
      <c r="B3">
        <v>4.25</v>
      </c>
      <c r="C3" t="s">
        <v>80</v>
      </c>
      <c r="E3" s="2" t="s">
        <v>98</v>
      </c>
      <c r="F3" s="3">
        <f>I17</f>
        <v>3.1906350000000003</v>
      </c>
      <c r="G3" t="s">
        <v>84</v>
      </c>
      <c r="H3" s="37" t="s">
        <v>2</v>
      </c>
      <c r="I3" s="3">
        <f>L3-F3</f>
        <v>8.5083600000000015</v>
      </c>
      <c r="J3" t="s">
        <v>32</v>
      </c>
      <c r="K3" t="s">
        <v>3</v>
      </c>
      <c r="L3" s="4">
        <f>F3*44/12</f>
        <v>11.698995000000002</v>
      </c>
      <c r="M3" t="s">
        <v>33</v>
      </c>
      <c r="O3" s="5">
        <f>I3/8.34</f>
        <v>1.0201870503597124</v>
      </c>
      <c r="P3" t="s">
        <v>34</v>
      </c>
      <c r="R3" s="1"/>
    </row>
    <row r="4" spans="1:18">
      <c r="A4" s="2" t="s">
        <v>4</v>
      </c>
      <c r="B4">
        <v>8.34</v>
      </c>
      <c r="C4" t="s">
        <v>29</v>
      </c>
      <c r="E4" s="2" t="s">
        <v>97</v>
      </c>
      <c r="F4" s="5">
        <f>B3-F3</f>
        <v>1.0593649999999997</v>
      </c>
      <c r="G4" t="s">
        <v>96</v>
      </c>
      <c r="R4" s="1"/>
    </row>
    <row r="5" spans="1:18">
      <c r="A5" s="2" t="s">
        <v>81</v>
      </c>
      <c r="B5" s="6">
        <f>L3</f>
        <v>11.698995000000002</v>
      </c>
      <c r="C5" t="s">
        <v>29</v>
      </c>
      <c r="D5" s="7"/>
      <c r="E5" s="7">
        <f>B5/8.34</f>
        <v>1.4027571942446047</v>
      </c>
      <c r="F5" t="s">
        <v>99</v>
      </c>
      <c r="L5" t="s">
        <v>6</v>
      </c>
      <c r="R5" s="1"/>
    </row>
    <row r="6" spans="1:18">
      <c r="A6" s="2"/>
      <c r="F6" t="s">
        <v>72</v>
      </c>
      <c r="H6" t="s">
        <v>73</v>
      </c>
      <c r="R6" s="1"/>
    </row>
    <row r="7" spans="1:18">
      <c r="A7" s="2" t="s">
        <v>7</v>
      </c>
      <c r="B7">
        <v>12</v>
      </c>
      <c r="D7" s="2" t="s">
        <v>74</v>
      </c>
      <c r="E7">
        <f>B7+E8</f>
        <v>44</v>
      </c>
      <c r="F7" s="8">
        <f>2*B8/E7</f>
        <v>0.72727272727272729</v>
      </c>
      <c r="G7" t="s">
        <v>8</v>
      </c>
      <c r="H7" s="8">
        <f>B7/E7</f>
        <v>0.27272727272727271</v>
      </c>
      <c r="I7" t="s">
        <v>9</v>
      </c>
      <c r="R7" s="1"/>
    </row>
    <row r="8" spans="1:18">
      <c r="A8" s="2" t="s">
        <v>10</v>
      </c>
      <c r="B8">
        <v>16</v>
      </c>
      <c r="D8" s="2" t="s">
        <v>75</v>
      </c>
      <c r="E8">
        <f>B8*2</f>
        <v>32</v>
      </c>
      <c r="R8" s="1"/>
    </row>
    <row r="9" spans="1:18">
      <c r="A9" s="2" t="s">
        <v>11</v>
      </c>
      <c r="B9">
        <v>1</v>
      </c>
      <c r="D9" s="2" t="s">
        <v>76</v>
      </c>
      <c r="E9">
        <f>2*B9+B8</f>
        <v>18</v>
      </c>
      <c r="R9" s="1"/>
    </row>
    <row r="10" spans="1:18">
      <c r="A10" s="2" t="s">
        <v>86</v>
      </c>
      <c r="B10" s="8">
        <v>0.03</v>
      </c>
      <c r="C10">
        <v>1</v>
      </c>
      <c r="D10" s="36" t="s">
        <v>88</v>
      </c>
      <c r="E10" s="8">
        <f>B10*C10</f>
        <v>0.03</v>
      </c>
      <c r="F10" s="7">
        <f>E10*B$5</f>
        <v>0.35096985000000003</v>
      </c>
      <c r="G10" t="s">
        <v>93</v>
      </c>
      <c r="J10" s="9"/>
      <c r="K10" s="10" t="s">
        <v>100</v>
      </c>
      <c r="L10" s="10"/>
      <c r="M10" s="10"/>
      <c r="N10" s="10"/>
      <c r="O10" s="10"/>
      <c r="P10" s="10"/>
      <c r="Q10" s="11"/>
      <c r="R10" s="1"/>
    </row>
    <row r="11" spans="1:18">
      <c r="A11" s="2" t="s">
        <v>87</v>
      </c>
      <c r="B11" s="8">
        <v>0.04</v>
      </c>
      <c r="C11">
        <v>84</v>
      </c>
      <c r="D11" s="36" t="s">
        <v>88</v>
      </c>
      <c r="E11" s="40">
        <f>B11*C11*(16/44)</f>
        <v>1.2218181818181819</v>
      </c>
      <c r="F11" s="7">
        <f>E11*B$5</f>
        <v>14.294044800000004</v>
      </c>
      <c r="G11" t="s">
        <v>94</v>
      </c>
      <c r="J11" s="12"/>
      <c r="K11" s="13"/>
      <c r="L11" s="13"/>
      <c r="M11" s="13"/>
      <c r="N11" s="13"/>
      <c r="O11" s="13"/>
      <c r="P11" s="13"/>
      <c r="Q11" s="16"/>
      <c r="R11" s="1"/>
    </row>
    <row r="12" spans="1:18">
      <c r="A12" s="2" t="s">
        <v>85</v>
      </c>
      <c r="B12" s="38"/>
      <c r="E12" s="8">
        <f>E10+E11</f>
        <v>1.2518181818181819</v>
      </c>
      <c r="J12" s="12" t="s">
        <v>13</v>
      </c>
      <c r="K12" s="13" t="s">
        <v>14</v>
      </c>
      <c r="L12" s="13" t="s">
        <v>37</v>
      </c>
      <c r="M12" s="14" t="s">
        <v>38</v>
      </c>
      <c r="N12" s="13"/>
      <c r="O12" s="15" t="s">
        <v>39</v>
      </c>
      <c r="P12" s="13"/>
      <c r="Q12" s="16"/>
      <c r="R12" s="1"/>
    </row>
    <row r="13" spans="1:18">
      <c r="A13" s="2" t="s">
        <v>89</v>
      </c>
      <c r="B13" s="39">
        <f>ROUND(B5*E12,2)</f>
        <v>14.65</v>
      </c>
      <c r="C13" t="s">
        <v>40</v>
      </c>
      <c r="E13" s="5">
        <f>B13/8.34</f>
        <v>1.7565947242206237</v>
      </c>
      <c r="F13" t="s">
        <v>34</v>
      </c>
      <c r="J13" s="12">
        <v>1</v>
      </c>
      <c r="K13" s="15" t="s">
        <v>9</v>
      </c>
      <c r="L13" s="13">
        <f>B7</f>
        <v>12</v>
      </c>
      <c r="M13" s="13">
        <f>J13*L13</f>
        <v>12</v>
      </c>
      <c r="N13" s="17">
        <f>M13/M15</f>
        <v>0.75</v>
      </c>
      <c r="O13" s="18">
        <f>N13*B$3</f>
        <v>3.1875</v>
      </c>
      <c r="P13" s="13" t="s">
        <v>41</v>
      </c>
      <c r="Q13" s="16"/>
      <c r="R13" s="1"/>
    </row>
    <row r="14" spans="1:18" ht="18">
      <c r="A14" s="2"/>
      <c r="J14" s="12">
        <v>4</v>
      </c>
      <c r="K14" s="15" t="s">
        <v>16</v>
      </c>
      <c r="L14" s="13">
        <v>1</v>
      </c>
      <c r="M14" s="19">
        <f>J14*L14</f>
        <v>4</v>
      </c>
      <c r="N14" s="26">
        <f>M14/M15</f>
        <v>0.25</v>
      </c>
      <c r="O14" s="20">
        <f>N14*B$3</f>
        <v>1.0625</v>
      </c>
      <c r="P14" s="13" t="s">
        <v>42</v>
      </c>
      <c r="Q14" s="16"/>
      <c r="R14" s="1"/>
    </row>
    <row r="15" spans="1:18">
      <c r="A15" s="2" t="s">
        <v>90</v>
      </c>
      <c r="B15" s="3">
        <f>ROUND(B5+B13,1)</f>
        <v>26.3</v>
      </c>
      <c r="C15" t="s">
        <v>91</v>
      </c>
      <c r="E15" s="5">
        <f>B15/8.34</f>
        <v>3.1534772182254196</v>
      </c>
      <c r="F15" t="s">
        <v>34</v>
      </c>
      <c r="J15" s="22" t="s">
        <v>18</v>
      </c>
      <c r="K15" s="23"/>
      <c r="L15" s="23"/>
      <c r="M15" s="23">
        <f>M13+M14</f>
        <v>16</v>
      </c>
      <c r="N15" s="27">
        <f>N13+N14</f>
        <v>1</v>
      </c>
      <c r="O15" s="24">
        <f>+O13+O14</f>
        <v>4.25</v>
      </c>
      <c r="P15" s="23" t="s">
        <v>43</v>
      </c>
      <c r="Q15" s="25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6">
      <c r="C17">
        <v>0.67969999999999997</v>
      </c>
      <c r="D17" t="s">
        <v>78</v>
      </c>
      <c r="F17">
        <v>14.47</v>
      </c>
      <c r="G17" t="s">
        <v>82</v>
      </c>
      <c r="I17">
        <f>F17*2.205/10</f>
        <v>3.1906350000000003</v>
      </c>
      <c r="J17" t="s">
        <v>83</v>
      </c>
      <c r="K17">
        <f>I17*(16/12)</f>
        <v>4.2541799999999999</v>
      </c>
    </row>
    <row r="18" spans="1:16">
      <c r="C18">
        <v>4.2999999999999997E-2</v>
      </c>
      <c r="D18" t="s">
        <v>79</v>
      </c>
    </row>
    <row r="19" spans="1:16">
      <c r="B19" t="s">
        <v>52</v>
      </c>
      <c r="E19" t="s">
        <v>53</v>
      </c>
      <c r="G19" t="s">
        <v>54</v>
      </c>
      <c r="I19" t="s">
        <v>55</v>
      </c>
      <c r="K19" t="s">
        <v>56</v>
      </c>
      <c r="M19" t="s">
        <v>57</v>
      </c>
    </row>
    <row r="20" spans="1:16">
      <c r="A20" s="9"/>
      <c r="B20" s="10"/>
      <c r="C20" s="10"/>
      <c r="D20" s="11"/>
      <c r="G20" s="9"/>
      <c r="H20" s="11"/>
      <c r="K20" s="9"/>
      <c r="L20" s="11"/>
    </row>
    <row r="21" spans="1:16">
      <c r="A21" s="12" t="s">
        <v>44</v>
      </c>
      <c r="B21" s="13"/>
      <c r="C21" s="13"/>
      <c r="D21" s="16"/>
      <c r="E21" s="9"/>
      <c r="F21" s="11"/>
      <c r="G21" s="12"/>
      <c r="H21" s="16"/>
      <c r="I21" s="9"/>
      <c r="J21" s="11"/>
      <c r="K21" s="12"/>
      <c r="L21" s="16"/>
      <c r="M21" s="9"/>
      <c r="N21" s="10"/>
      <c r="O21" s="10"/>
      <c r="P21" s="11"/>
    </row>
    <row r="22" spans="1:16">
      <c r="A22" s="12"/>
      <c r="B22" s="13"/>
      <c r="C22" s="13"/>
      <c r="D22" s="16"/>
      <c r="E22" s="12" t="s">
        <v>23</v>
      </c>
      <c r="F22" s="16"/>
      <c r="G22" s="12" t="s">
        <v>24</v>
      </c>
      <c r="H22" s="16"/>
      <c r="I22" s="12"/>
      <c r="J22" s="16"/>
      <c r="K22" s="12"/>
      <c r="L22" s="16"/>
      <c r="M22" s="12"/>
      <c r="N22" s="13"/>
      <c r="O22" s="13"/>
      <c r="P22" s="16"/>
    </row>
    <row r="23" spans="1:16">
      <c r="A23" s="29" t="s">
        <v>92</v>
      </c>
      <c r="B23" s="13">
        <f>B3</f>
        <v>4.25</v>
      </c>
      <c r="C23" s="13" t="str">
        <f>C3</f>
        <v>lbs./therm</v>
      </c>
      <c r="D23" s="16"/>
      <c r="E23" s="12">
        <f>B23</f>
        <v>4.25</v>
      </c>
      <c r="F23" s="16" t="s">
        <v>45</v>
      </c>
      <c r="G23" s="32">
        <f>E23/B$4</f>
        <v>0.50959232613908878</v>
      </c>
      <c r="H23" s="16" t="s">
        <v>25</v>
      </c>
      <c r="I23" s="34">
        <f>G23*128</f>
        <v>65.227817745803364</v>
      </c>
      <c r="J23" s="16" t="s">
        <v>51</v>
      </c>
      <c r="K23" s="33">
        <f>I23/32</f>
        <v>2.0383693045563551</v>
      </c>
      <c r="L23" s="16" t="s">
        <v>27</v>
      </c>
      <c r="M23" s="33">
        <f>ROUNDDOWN(K23,0)</f>
        <v>2</v>
      </c>
      <c r="N23" s="13" t="s">
        <v>28</v>
      </c>
      <c r="O23" s="35">
        <f>(K23-M23)*32</f>
        <v>1.2278177458033639</v>
      </c>
      <c r="P23" s="16" t="s">
        <v>46</v>
      </c>
    </row>
    <row r="24" spans="1:16">
      <c r="A24" s="29" t="s">
        <v>48</v>
      </c>
      <c r="B24" s="13"/>
      <c r="C24" s="13"/>
      <c r="D24" s="16"/>
      <c r="E24" s="12"/>
      <c r="F24" s="16"/>
      <c r="G24" s="12"/>
      <c r="H24" s="16"/>
      <c r="I24" s="12"/>
      <c r="J24" s="16"/>
      <c r="K24" s="12"/>
      <c r="L24" s="16"/>
      <c r="M24" s="12"/>
      <c r="N24" s="13"/>
      <c r="O24" s="13"/>
      <c r="P24" s="16"/>
    </row>
    <row r="25" spans="1:16">
      <c r="A25" s="29" t="s">
        <v>21</v>
      </c>
      <c r="B25" s="31">
        <f>F3</f>
        <v>3.1906350000000003</v>
      </c>
      <c r="C25" s="30" t="str">
        <f>G3</f>
        <v>lbs. C/th</v>
      </c>
      <c r="D25" s="16"/>
      <c r="E25" s="12"/>
      <c r="F25" s="16"/>
      <c r="G25" s="12"/>
      <c r="H25" s="16"/>
      <c r="I25" s="12"/>
      <c r="J25" s="16"/>
      <c r="K25" s="12"/>
      <c r="L25" s="16"/>
      <c r="M25" s="12"/>
      <c r="N25" s="13"/>
      <c r="O25" s="13"/>
      <c r="P25" s="16"/>
    </row>
    <row r="26" spans="1:16">
      <c r="A26" s="29" t="s">
        <v>22</v>
      </c>
      <c r="B26" s="31">
        <f>F4</f>
        <v>1.0593649999999997</v>
      </c>
      <c r="C26" s="31" t="str">
        <f>G4</f>
        <v>lbs. H /therm</v>
      </c>
      <c r="D26" s="16"/>
      <c r="E26" s="12"/>
      <c r="F26" s="16"/>
      <c r="G26" s="12"/>
      <c r="H26" s="16"/>
      <c r="I26" s="12"/>
      <c r="J26" s="16"/>
      <c r="K26" s="12"/>
      <c r="L26" s="16"/>
      <c r="M26" s="12"/>
      <c r="N26" s="13"/>
      <c r="O26" s="13"/>
      <c r="P26" s="16"/>
    </row>
    <row r="27" spans="1:16">
      <c r="A27" s="29"/>
      <c r="B27" s="13"/>
      <c r="C27" s="13"/>
      <c r="D27" s="16"/>
      <c r="E27" s="12"/>
      <c r="F27" s="16"/>
      <c r="G27" s="12"/>
      <c r="H27" s="16"/>
      <c r="I27" s="12"/>
      <c r="J27" s="16"/>
      <c r="K27" s="12"/>
      <c r="L27" s="16"/>
      <c r="M27" s="12"/>
      <c r="N27" s="13"/>
      <c r="O27" s="13"/>
      <c r="P27" s="16"/>
    </row>
    <row r="28" spans="1:16">
      <c r="A28" s="29" t="s">
        <v>95</v>
      </c>
      <c r="B28" s="31">
        <f>I3</f>
        <v>8.5083600000000015</v>
      </c>
      <c r="C28" s="30" t="str">
        <f>J3</f>
        <v>lbs. O2</v>
      </c>
      <c r="D28" s="16" t="s">
        <v>50</v>
      </c>
      <c r="E28" s="28">
        <f>B28</f>
        <v>8.5083600000000015</v>
      </c>
      <c r="F28" s="16" t="s">
        <v>45</v>
      </c>
      <c r="G28" s="32">
        <f>E28/B$4</f>
        <v>1.0201870503597124</v>
      </c>
      <c r="H28" s="16" t="s">
        <v>25</v>
      </c>
      <c r="I28" s="34">
        <f>G28*128</f>
        <v>130.58394244604318</v>
      </c>
      <c r="J28" s="16" t="s">
        <v>51</v>
      </c>
      <c r="K28" s="33">
        <f>I28/32</f>
        <v>4.0807482014388494</v>
      </c>
      <c r="L28" s="16" t="s">
        <v>27</v>
      </c>
      <c r="M28" s="33">
        <f>ROUNDDOWN(K28,0)</f>
        <v>4</v>
      </c>
      <c r="N28" s="13" t="s">
        <v>28</v>
      </c>
      <c r="O28" s="35">
        <f>(K28-M28)*32</f>
        <v>2.5839424460431815</v>
      </c>
      <c r="P28" s="16" t="s">
        <v>46</v>
      </c>
    </row>
    <row r="29" spans="1:16">
      <c r="A29" s="29"/>
      <c r="B29" s="13"/>
      <c r="C29" s="13"/>
      <c r="D29" s="16"/>
      <c r="E29" s="12"/>
      <c r="F29" s="16"/>
      <c r="G29" s="12"/>
      <c r="H29" s="16"/>
      <c r="I29" s="12"/>
      <c r="J29" s="16"/>
      <c r="K29" s="12"/>
      <c r="L29" s="16"/>
      <c r="M29" s="12"/>
      <c r="N29" s="13"/>
      <c r="O29" s="13"/>
      <c r="P29" s="16"/>
    </row>
    <row r="30" spans="1:16">
      <c r="A30" s="29" t="s">
        <v>26</v>
      </c>
      <c r="B30" s="30">
        <f>B13</f>
        <v>14.65</v>
      </c>
      <c r="C30" s="13" t="s">
        <v>33</v>
      </c>
      <c r="D30" s="16"/>
      <c r="E30" s="28">
        <f>B30</f>
        <v>14.65</v>
      </c>
      <c r="F30" s="16" t="s">
        <v>45</v>
      </c>
      <c r="G30" s="32">
        <f>E30/B$4</f>
        <v>1.7565947242206237</v>
      </c>
      <c r="H30" s="16" t="s">
        <v>25</v>
      </c>
      <c r="I30" s="34">
        <f>G30*128</f>
        <v>224.84412470023983</v>
      </c>
      <c r="J30" s="16" t="s">
        <v>51</v>
      </c>
      <c r="K30" s="33">
        <f>I30/32</f>
        <v>7.0263788968824947</v>
      </c>
      <c r="L30" s="16" t="s">
        <v>27</v>
      </c>
      <c r="M30" s="33">
        <f>ROUNDDOWN(K30,0)</f>
        <v>7</v>
      </c>
      <c r="N30" s="13" t="s">
        <v>28</v>
      </c>
      <c r="O30" s="35">
        <f>(K30-M30)*32</f>
        <v>0.84412470023983133</v>
      </c>
      <c r="P30" s="16" t="s">
        <v>46</v>
      </c>
    </row>
    <row r="31" spans="1:16">
      <c r="A31" s="12"/>
      <c r="B31" s="13"/>
      <c r="C31" s="13"/>
      <c r="D31" s="16"/>
      <c r="E31" s="12"/>
      <c r="F31" s="16"/>
      <c r="G31" s="12"/>
      <c r="H31" s="16"/>
      <c r="I31" s="12"/>
      <c r="J31" s="16"/>
      <c r="K31" s="12"/>
      <c r="L31" s="16"/>
      <c r="M31" s="12"/>
      <c r="N31" s="13"/>
      <c r="O31" s="13"/>
      <c r="P31" s="16"/>
    </row>
    <row r="32" spans="1:16">
      <c r="A32" s="29" t="s">
        <v>47</v>
      </c>
      <c r="B32" s="30">
        <f>B23+B28+B30</f>
        <v>27.408360000000002</v>
      </c>
      <c r="C32" s="13" t="s">
        <v>33</v>
      </c>
      <c r="D32" s="16"/>
      <c r="E32" s="28">
        <f>E23+E28+E30</f>
        <v>27.408360000000002</v>
      </c>
      <c r="F32" s="16" t="s">
        <v>45</v>
      </c>
      <c r="G32" s="33">
        <f>G23+G28+G30</f>
        <v>3.2863741007194247</v>
      </c>
      <c r="H32" s="16" t="s">
        <v>25</v>
      </c>
      <c r="I32" s="34">
        <f>G32*128</f>
        <v>420.65588489208636</v>
      </c>
      <c r="J32" s="16" t="s">
        <v>51</v>
      </c>
      <c r="K32" s="33">
        <f>I32/32</f>
        <v>13.145496402877699</v>
      </c>
      <c r="L32" s="16" t="s">
        <v>27</v>
      </c>
      <c r="M32" s="33">
        <f>ROUNDDOWN(K32,0)</f>
        <v>13</v>
      </c>
      <c r="N32" s="13" t="s">
        <v>28</v>
      </c>
      <c r="O32" s="35">
        <f>(K32-M32)*32</f>
        <v>4.6558848920863625</v>
      </c>
      <c r="P32" s="16" t="s">
        <v>46</v>
      </c>
    </row>
    <row r="33" spans="1:16">
      <c r="A33" s="12"/>
      <c r="B33" s="13"/>
      <c r="C33" s="13"/>
      <c r="D33" s="16"/>
      <c r="E33" s="12"/>
      <c r="F33" s="16"/>
      <c r="G33" s="12"/>
      <c r="H33" s="16"/>
      <c r="I33" s="12"/>
      <c r="J33" s="16"/>
      <c r="K33" s="12"/>
      <c r="L33" s="16"/>
      <c r="M33" s="12"/>
      <c r="N33" s="13"/>
      <c r="O33" s="13"/>
      <c r="P33" s="16"/>
    </row>
    <row r="34" spans="1:16">
      <c r="A34" s="12"/>
      <c r="B34" s="13"/>
      <c r="C34" s="13"/>
      <c r="D34" s="16"/>
      <c r="E34" s="22"/>
      <c r="F34" s="25"/>
      <c r="G34" s="12"/>
      <c r="H34" s="16"/>
      <c r="I34" s="22"/>
      <c r="J34" s="25"/>
      <c r="K34" s="12"/>
      <c r="L34" s="16"/>
      <c r="M34" s="22"/>
      <c r="N34" s="23"/>
      <c r="O34" s="23"/>
      <c r="P34" s="25"/>
    </row>
    <row r="35" spans="1:16">
      <c r="A35" s="22"/>
      <c r="B35" s="23"/>
      <c r="C35" s="23"/>
      <c r="D35" s="25"/>
      <c r="G35" s="22"/>
      <c r="H35" s="25"/>
      <c r="K35" s="22"/>
      <c r="L35" s="25"/>
    </row>
    <row r="39" spans="1:16">
      <c r="E39" s="2" t="str">
        <f t="shared" ref="E39:G39" si="0">E4</f>
        <v>lbs. Hydrogen</v>
      </c>
      <c r="F39" s="7">
        <f t="shared" si="0"/>
        <v>1.0593649999999997</v>
      </c>
      <c r="G39" t="str">
        <f t="shared" si="0"/>
        <v>lbs. H /therm</v>
      </c>
    </row>
    <row r="41" spans="1:16">
      <c r="D41" t="s">
        <v>58</v>
      </c>
      <c r="E41">
        <v>2</v>
      </c>
      <c r="F41" s="37" t="s">
        <v>59</v>
      </c>
      <c r="G41" s="2" t="s">
        <v>60</v>
      </c>
    </row>
    <row r="42" spans="1:16">
      <c r="D42" t="s">
        <v>3</v>
      </c>
      <c r="E42">
        <v>2</v>
      </c>
      <c r="F42">
        <v>1</v>
      </c>
      <c r="G42">
        <f>B8</f>
        <v>16</v>
      </c>
    </row>
    <row r="43" spans="1:16">
      <c r="D43" t="s">
        <v>3</v>
      </c>
      <c r="F43">
        <f>E42*F42</f>
        <v>2</v>
      </c>
      <c r="G43">
        <f>G42</f>
        <v>16</v>
      </c>
      <c r="H43" t="s">
        <v>61</v>
      </c>
      <c r="I43">
        <f>F43+G43</f>
        <v>18</v>
      </c>
    </row>
    <row r="44" spans="1:16">
      <c r="F44" s="8">
        <f>F43/I43</f>
        <v>0.1111111111111111</v>
      </c>
      <c r="G44" s="8">
        <f>G43/I43</f>
        <v>0.88888888888888884</v>
      </c>
      <c r="H44" t="s">
        <v>62</v>
      </c>
      <c r="I44" s="8">
        <f>I43/I43</f>
        <v>1</v>
      </c>
    </row>
    <row r="45" spans="1:16">
      <c r="F45" s="2" t="s">
        <v>63</v>
      </c>
      <c r="G45" t="s">
        <v>64</v>
      </c>
    </row>
    <row r="46" spans="1:16">
      <c r="F46" s="5">
        <f>F39</f>
        <v>1.0593649999999997</v>
      </c>
      <c r="G46" s="5">
        <f>(G44/F44)*F46</f>
        <v>8.4749199999999973</v>
      </c>
      <c r="I46" s="5">
        <f>F46+G46</f>
        <v>9.534284999999997</v>
      </c>
      <c r="J46" t="s">
        <v>65</v>
      </c>
    </row>
    <row r="47" spans="1:16">
      <c r="I47" s="5">
        <f>I46/B4</f>
        <v>1.1431996402877695</v>
      </c>
      <c r="J47" t="s">
        <v>66</v>
      </c>
    </row>
    <row r="48" spans="1:16">
      <c r="B48" t="s">
        <v>68</v>
      </c>
      <c r="D48" t="s">
        <v>69</v>
      </c>
      <c r="E48" t="s">
        <v>47</v>
      </c>
    </row>
    <row r="49" spans="1:5">
      <c r="A49" t="s">
        <v>67</v>
      </c>
      <c r="B49" s="6">
        <f>B5/B3</f>
        <v>2.7527047058823535</v>
      </c>
      <c r="D49" s="5">
        <f>B30/B23</f>
        <v>3.447058823529412</v>
      </c>
      <c r="E49" s="5">
        <f>B49+D49</f>
        <v>6.199763529411765</v>
      </c>
    </row>
    <row r="50" spans="1:5">
      <c r="A50" t="s">
        <v>70</v>
      </c>
    </row>
    <row r="51" spans="1:5">
      <c r="A51" t="s">
        <v>71</v>
      </c>
      <c r="B51" s="5">
        <f>(B28/B23)+G46/B23</f>
        <v>3.9960658823529407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CO2 in Gasoline</vt:lpstr>
      <vt:lpstr>CO2 in a Therm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Kabat</dc:creator>
  <cp:lastModifiedBy>Tom Kabat</cp:lastModifiedBy>
  <dcterms:created xsi:type="dcterms:W3CDTF">2016-04-20T22:36:10Z</dcterms:created>
  <dcterms:modified xsi:type="dcterms:W3CDTF">2016-05-01T04:20:03Z</dcterms:modified>
</cp:coreProperties>
</file>