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2720" activeTab="0"/>
  </bookViews>
  <sheets>
    <sheet name="Fig1" sheetId="1" r:id="rId1"/>
    <sheet name="Fig2" sheetId="2" r:id="rId2"/>
    <sheet name="Fig3" sheetId="3" r:id="rId3"/>
    <sheet name="TR" sheetId="4" r:id="rId4"/>
    <sheet name="CR" sheetId="5" r:id="rId5"/>
    <sheet name="CL" sheetId="6" r:id="rId6"/>
    <sheet name="Table" sheetId="7" r:id="rId7"/>
  </sheets>
  <definedNames/>
  <calcPr fullCalcOnLoad="1"/>
</workbook>
</file>

<file path=xl/sharedStrings.xml><?xml version="1.0" encoding="utf-8"?>
<sst xmlns="http://schemas.openxmlformats.org/spreadsheetml/2006/main" count="905" uniqueCount="212">
  <si>
    <t>°</t>
  </si>
  <si>
    <t>mm</t>
  </si>
  <si>
    <t>2TR</t>
  </si>
  <si>
    <t>=</t>
  </si>
  <si>
    <t>(</t>
  </si>
  <si>
    <t>,</t>
  </si>
  <si>
    <t>)</t>
  </si>
  <si>
    <t>xa</t>
  </si>
  <si>
    <t>ya</t>
  </si>
  <si>
    <t>za</t>
  </si>
  <si>
    <t>l1R</t>
  </si>
  <si>
    <t>xbR0</t>
  </si>
  <si>
    <t>ybR0</t>
  </si>
  <si>
    <t>zbR0</t>
  </si>
  <si>
    <t>xbR</t>
  </si>
  <si>
    <t>ybR</t>
  </si>
  <si>
    <t>zbR</t>
  </si>
  <si>
    <t>l1Rsin(α0R-α)</t>
  </si>
  <si>
    <t>l1Rcos(α0R-α)</t>
  </si>
  <si>
    <t>l2R</t>
  </si>
  <si>
    <t>xcR0</t>
  </si>
  <si>
    <t>ycR0</t>
  </si>
  <si>
    <t>zcR0</t>
  </si>
  <si>
    <t>xcR</t>
  </si>
  <si>
    <t>ycR</t>
  </si>
  <si>
    <t>zcR</t>
  </si>
  <si>
    <t>l3R</t>
  </si>
  <si>
    <t>xdR</t>
  </si>
  <si>
    <t>ydR</t>
  </si>
  <si>
    <t>zdR</t>
  </si>
  <si>
    <t>rad</t>
  </si>
  <si>
    <t>l4R</t>
  </si>
  <si>
    <t>xeR</t>
  </si>
  <si>
    <t>yeR</t>
  </si>
  <si>
    <t>l1L</t>
  </si>
  <si>
    <t>xbL0</t>
  </si>
  <si>
    <t>ybL0</t>
  </si>
  <si>
    <t>zbL0</t>
  </si>
  <si>
    <t>xbL</t>
  </si>
  <si>
    <t>ybL</t>
  </si>
  <si>
    <t>zbL</t>
  </si>
  <si>
    <t>l1Lsin(α0L-α)</t>
  </si>
  <si>
    <t>l1Lcos(α0L-α)</t>
  </si>
  <si>
    <t>l2L</t>
  </si>
  <si>
    <t>xcL0</t>
  </si>
  <si>
    <t>ycL0</t>
  </si>
  <si>
    <t>zcL0</t>
  </si>
  <si>
    <t>xcL</t>
  </si>
  <si>
    <t>ycL</t>
  </si>
  <si>
    <t>zcL</t>
  </si>
  <si>
    <t>l3L</t>
  </si>
  <si>
    <t>xdL</t>
  </si>
  <si>
    <t>ydL</t>
  </si>
  <si>
    <t>zdL</t>
  </si>
  <si>
    <t>l4L</t>
  </si>
  <si>
    <t>xeL</t>
  </si>
  <si>
    <t>yeL</t>
  </si>
  <si>
    <t>Steval = Stevalneutral</t>
  </si>
  <si>
    <t>Steval = Stevalneutral + 39</t>
  </si>
  <si>
    <t>Steval = Stevalneutral - 39</t>
  </si>
  <si>
    <t>M-03R x 2 Turning Radius</t>
  </si>
  <si>
    <t>steval</t>
  </si>
  <si>
    <t>=</t>
  </si>
  <si>
    <t>Servo Angle</t>
  </si>
  <si>
    <t>α</t>
  </si>
  <si>
    <t>°</t>
  </si>
  <si>
    <t>Turning Radius (Wheel Center)</t>
  </si>
  <si>
    <t>R</t>
  </si>
  <si>
    <t>mm</t>
  </si>
  <si>
    <t>Turning Radius (RC Car Center)</t>
  </si>
  <si>
    <t>TR</t>
  </si>
  <si>
    <t>2TR</t>
  </si>
  <si>
    <r>
      <t>β</t>
    </r>
    <r>
      <rPr>
        <b/>
        <vertAlign val="subscript"/>
        <sz val="10"/>
        <rFont val="Verdana"/>
        <family val="2"/>
      </rPr>
      <t>R</t>
    </r>
  </si>
  <si>
    <r>
      <t>β</t>
    </r>
    <r>
      <rPr>
        <b/>
        <vertAlign val="subscript"/>
        <sz val="10"/>
        <rFont val="Verdana"/>
        <family val="2"/>
      </rPr>
      <t>L</t>
    </r>
  </si>
  <si>
    <t>F</t>
  </si>
  <si>
    <t>(</t>
  </si>
  <si>
    <t>,</t>
  </si>
  <si>
    <t>)</t>
  </si>
  <si>
    <t>X</t>
  </si>
  <si>
    <t>2X</t>
  </si>
  <si>
    <t>Coordinate</t>
  </si>
  <si>
    <t>A</t>
  </si>
  <si>
    <r>
      <t>x</t>
    </r>
    <r>
      <rPr>
        <vertAlign val="subscript"/>
        <sz val="10"/>
        <rFont val="Verdana"/>
        <family val="2"/>
      </rPr>
      <t>a</t>
    </r>
  </si>
  <si>
    <r>
      <t>y</t>
    </r>
    <r>
      <rPr>
        <vertAlign val="subscript"/>
        <sz val="10"/>
        <rFont val="Verdana"/>
        <family val="2"/>
      </rPr>
      <t>a</t>
    </r>
  </si>
  <si>
    <r>
      <t>z</t>
    </r>
    <r>
      <rPr>
        <vertAlign val="subscript"/>
        <sz val="10"/>
        <rFont val="Verdana"/>
        <family val="2"/>
      </rPr>
      <t>a</t>
    </r>
  </si>
  <si>
    <t>Right</t>
  </si>
  <si>
    <r>
      <t>AB</t>
    </r>
    <r>
      <rPr>
        <vertAlign val="subscript"/>
        <sz val="10"/>
        <rFont val="Verdana"/>
        <family val="2"/>
      </rPr>
      <t>R</t>
    </r>
  </si>
  <si>
    <r>
      <t>l</t>
    </r>
    <r>
      <rPr>
        <vertAlign val="subscript"/>
        <sz val="10"/>
        <rFont val="Verdana"/>
        <family val="2"/>
      </rPr>
      <t>1R</t>
    </r>
  </si>
  <si>
    <r>
      <t>α</t>
    </r>
    <r>
      <rPr>
        <vertAlign val="subscript"/>
        <sz val="10"/>
        <rFont val="Verdana"/>
        <family val="2"/>
      </rPr>
      <t>0R</t>
    </r>
  </si>
  <si>
    <r>
      <t>B</t>
    </r>
    <r>
      <rPr>
        <vertAlign val="subscript"/>
        <sz val="10"/>
        <rFont val="Verdana"/>
        <family val="2"/>
      </rPr>
      <t>R0</t>
    </r>
  </si>
  <si>
    <r>
      <t>x</t>
    </r>
    <r>
      <rPr>
        <vertAlign val="subscript"/>
        <sz val="10"/>
        <rFont val="Verdana"/>
        <family val="2"/>
      </rPr>
      <t>bR0</t>
    </r>
  </si>
  <si>
    <r>
      <t>y</t>
    </r>
    <r>
      <rPr>
        <vertAlign val="subscript"/>
        <sz val="10"/>
        <rFont val="Verdana"/>
        <family val="2"/>
      </rPr>
      <t>bR0</t>
    </r>
  </si>
  <si>
    <r>
      <t>z</t>
    </r>
    <r>
      <rPr>
        <vertAlign val="subscript"/>
        <sz val="10"/>
        <rFont val="Verdana"/>
        <family val="2"/>
      </rPr>
      <t>bR0</t>
    </r>
  </si>
  <si>
    <r>
      <t>B</t>
    </r>
    <r>
      <rPr>
        <vertAlign val="subscript"/>
        <sz val="10"/>
        <rFont val="Verdana"/>
        <family val="2"/>
      </rPr>
      <t>R</t>
    </r>
  </si>
  <si>
    <r>
      <t>x</t>
    </r>
    <r>
      <rPr>
        <vertAlign val="subscript"/>
        <sz val="10"/>
        <rFont val="Verdana"/>
        <family val="2"/>
      </rPr>
      <t>bR</t>
    </r>
  </si>
  <si>
    <r>
      <t>y</t>
    </r>
    <r>
      <rPr>
        <vertAlign val="subscript"/>
        <sz val="10"/>
        <rFont val="Verdana"/>
        <family val="2"/>
      </rPr>
      <t>bR</t>
    </r>
  </si>
  <si>
    <r>
      <t>z</t>
    </r>
    <r>
      <rPr>
        <vertAlign val="subscript"/>
        <sz val="10"/>
        <rFont val="Verdana"/>
        <family val="2"/>
      </rPr>
      <t>bR</t>
    </r>
  </si>
  <si>
    <r>
      <t>l</t>
    </r>
    <r>
      <rPr>
        <vertAlign val="subscript"/>
        <sz val="10"/>
        <rFont val="Verdana"/>
        <family val="2"/>
      </rPr>
      <t>1R</t>
    </r>
    <r>
      <rPr>
        <sz val="10"/>
        <rFont val="Verdana"/>
        <family val="2"/>
      </rPr>
      <t>sin(α</t>
    </r>
    <r>
      <rPr>
        <vertAlign val="subscript"/>
        <sz val="10"/>
        <rFont val="Verdana"/>
        <family val="2"/>
      </rPr>
      <t>0R-</t>
    </r>
    <r>
      <rPr>
        <sz val="10"/>
        <rFont val="Verdana"/>
        <family val="2"/>
      </rPr>
      <t>α)</t>
    </r>
  </si>
  <si>
    <r>
      <t>l</t>
    </r>
    <r>
      <rPr>
        <vertAlign val="subscript"/>
        <sz val="10"/>
        <rFont val="Verdana"/>
        <family val="2"/>
      </rPr>
      <t>1R</t>
    </r>
    <r>
      <rPr>
        <sz val="10"/>
        <rFont val="Verdana"/>
        <family val="2"/>
      </rPr>
      <t>cos(α</t>
    </r>
    <r>
      <rPr>
        <vertAlign val="subscript"/>
        <sz val="10"/>
        <rFont val="Verdana"/>
        <family val="2"/>
      </rPr>
      <t>0R-</t>
    </r>
    <r>
      <rPr>
        <sz val="10"/>
        <rFont val="Verdana"/>
        <family val="2"/>
      </rPr>
      <t>α)</t>
    </r>
  </si>
  <si>
    <r>
      <t>B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C</t>
    </r>
    <r>
      <rPr>
        <vertAlign val="subscript"/>
        <sz val="10"/>
        <rFont val="Verdana"/>
        <family val="2"/>
      </rPr>
      <t>R</t>
    </r>
  </si>
  <si>
    <r>
      <t>l</t>
    </r>
    <r>
      <rPr>
        <vertAlign val="subscript"/>
        <sz val="10"/>
        <rFont val="Verdana"/>
        <family val="2"/>
      </rPr>
      <t>2R</t>
    </r>
  </si>
  <si>
    <r>
      <t>C</t>
    </r>
    <r>
      <rPr>
        <vertAlign val="subscript"/>
        <sz val="10"/>
        <rFont val="Verdana"/>
        <family val="2"/>
      </rPr>
      <t>R0</t>
    </r>
  </si>
  <si>
    <r>
      <t>x</t>
    </r>
    <r>
      <rPr>
        <vertAlign val="subscript"/>
        <sz val="10"/>
        <rFont val="Verdana"/>
        <family val="2"/>
      </rPr>
      <t>cR0</t>
    </r>
  </si>
  <si>
    <r>
      <t>y</t>
    </r>
    <r>
      <rPr>
        <vertAlign val="subscript"/>
        <sz val="10"/>
        <rFont val="Verdana"/>
        <family val="2"/>
      </rPr>
      <t>cR0</t>
    </r>
  </si>
  <si>
    <r>
      <t>z</t>
    </r>
    <r>
      <rPr>
        <vertAlign val="subscript"/>
        <sz val="10"/>
        <rFont val="Verdana"/>
        <family val="2"/>
      </rPr>
      <t>cR0</t>
    </r>
  </si>
  <si>
    <r>
      <t>C</t>
    </r>
    <r>
      <rPr>
        <vertAlign val="subscript"/>
        <sz val="10"/>
        <rFont val="Verdana"/>
        <family val="2"/>
      </rPr>
      <t>R</t>
    </r>
  </si>
  <si>
    <r>
      <t>x</t>
    </r>
    <r>
      <rPr>
        <vertAlign val="subscript"/>
        <sz val="10"/>
        <rFont val="Verdana"/>
        <family val="2"/>
      </rPr>
      <t>cR</t>
    </r>
  </si>
  <si>
    <r>
      <t>y</t>
    </r>
    <r>
      <rPr>
        <vertAlign val="subscript"/>
        <sz val="10"/>
        <rFont val="Verdana"/>
        <family val="2"/>
      </rPr>
      <t>cR</t>
    </r>
  </si>
  <si>
    <r>
      <t>z</t>
    </r>
    <r>
      <rPr>
        <vertAlign val="subscript"/>
        <sz val="10"/>
        <rFont val="Verdana"/>
        <family val="2"/>
      </rPr>
      <t>cR</t>
    </r>
  </si>
  <si>
    <r>
      <t>C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D</t>
    </r>
    <r>
      <rPr>
        <vertAlign val="subscript"/>
        <sz val="10"/>
        <rFont val="Verdana"/>
        <family val="2"/>
      </rPr>
      <t>R</t>
    </r>
  </si>
  <si>
    <r>
      <t>l</t>
    </r>
    <r>
      <rPr>
        <vertAlign val="subscript"/>
        <sz val="10"/>
        <rFont val="Verdana"/>
        <family val="2"/>
      </rPr>
      <t>3R</t>
    </r>
  </si>
  <si>
    <r>
      <t>D</t>
    </r>
    <r>
      <rPr>
        <vertAlign val="subscript"/>
        <sz val="10"/>
        <rFont val="Verdana"/>
        <family val="2"/>
      </rPr>
      <t>R</t>
    </r>
  </si>
  <si>
    <r>
      <t>x</t>
    </r>
    <r>
      <rPr>
        <vertAlign val="subscript"/>
        <sz val="10"/>
        <rFont val="Verdana"/>
        <family val="2"/>
      </rPr>
      <t>dR</t>
    </r>
  </si>
  <si>
    <r>
      <t>y</t>
    </r>
    <r>
      <rPr>
        <vertAlign val="subscript"/>
        <sz val="10"/>
        <rFont val="Verdana"/>
        <family val="2"/>
      </rPr>
      <t>dR</t>
    </r>
  </si>
  <si>
    <r>
      <t>z</t>
    </r>
    <r>
      <rPr>
        <vertAlign val="subscript"/>
        <sz val="10"/>
        <rFont val="Verdana"/>
        <family val="2"/>
      </rPr>
      <t>dR</t>
    </r>
  </si>
  <si>
    <r>
      <t>β</t>
    </r>
    <r>
      <rPr>
        <vertAlign val="subscript"/>
        <sz val="10"/>
        <rFont val="Verdana"/>
        <family val="2"/>
      </rPr>
      <t>R</t>
    </r>
  </si>
  <si>
    <t>rad</t>
  </si>
  <si>
    <r>
      <t>D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E</t>
    </r>
    <r>
      <rPr>
        <vertAlign val="subscript"/>
        <sz val="10"/>
        <rFont val="Verdana"/>
        <family val="2"/>
      </rPr>
      <t>R</t>
    </r>
  </si>
  <si>
    <r>
      <t>l</t>
    </r>
    <r>
      <rPr>
        <vertAlign val="subscript"/>
        <sz val="10"/>
        <rFont val="Verdana"/>
        <family val="2"/>
      </rPr>
      <t>4R</t>
    </r>
  </si>
  <si>
    <r>
      <t>E</t>
    </r>
    <r>
      <rPr>
        <vertAlign val="subscript"/>
        <sz val="10"/>
        <rFont val="Verdana"/>
        <family val="2"/>
      </rPr>
      <t>R</t>
    </r>
  </si>
  <si>
    <r>
      <t>x</t>
    </r>
    <r>
      <rPr>
        <vertAlign val="subscript"/>
        <sz val="10"/>
        <rFont val="Verdana"/>
        <family val="2"/>
      </rPr>
      <t>eR</t>
    </r>
  </si>
  <si>
    <r>
      <t>y</t>
    </r>
    <r>
      <rPr>
        <vertAlign val="subscript"/>
        <sz val="10"/>
        <rFont val="Verdana"/>
        <family val="2"/>
      </rPr>
      <t>eR</t>
    </r>
  </si>
  <si>
    <r>
      <t>F</t>
    </r>
    <r>
      <rPr>
        <vertAlign val="subscript"/>
        <sz val="10"/>
        <rFont val="Verdana"/>
        <family val="2"/>
      </rPr>
      <t>R</t>
    </r>
  </si>
  <si>
    <r>
      <t>X</t>
    </r>
    <r>
      <rPr>
        <vertAlign val="subscript"/>
        <sz val="10"/>
        <rFont val="Verdana"/>
        <family val="2"/>
      </rPr>
      <t>R</t>
    </r>
  </si>
  <si>
    <r>
      <t>R</t>
    </r>
    <r>
      <rPr>
        <vertAlign val="subscript"/>
        <sz val="10"/>
        <rFont val="Verdana"/>
        <family val="2"/>
      </rPr>
      <t>R</t>
    </r>
  </si>
  <si>
    <r>
      <t>TR</t>
    </r>
    <r>
      <rPr>
        <vertAlign val="subscript"/>
        <sz val="10"/>
        <rFont val="Verdana"/>
        <family val="2"/>
      </rPr>
      <t>R</t>
    </r>
  </si>
  <si>
    <t>Left</t>
  </si>
  <si>
    <r>
      <t>AB</t>
    </r>
    <r>
      <rPr>
        <vertAlign val="subscript"/>
        <sz val="10"/>
        <rFont val="Verdana"/>
        <family val="2"/>
      </rPr>
      <t>L</t>
    </r>
  </si>
  <si>
    <r>
      <t>l</t>
    </r>
    <r>
      <rPr>
        <vertAlign val="subscript"/>
        <sz val="10"/>
        <rFont val="Verdana"/>
        <family val="2"/>
      </rPr>
      <t>1L</t>
    </r>
  </si>
  <si>
    <r>
      <t>α</t>
    </r>
    <r>
      <rPr>
        <vertAlign val="subscript"/>
        <sz val="10"/>
        <rFont val="Verdana"/>
        <family val="2"/>
      </rPr>
      <t>0L</t>
    </r>
  </si>
  <si>
    <r>
      <t>B</t>
    </r>
    <r>
      <rPr>
        <vertAlign val="subscript"/>
        <sz val="10"/>
        <rFont val="Verdana"/>
        <family val="2"/>
      </rPr>
      <t>L0</t>
    </r>
  </si>
  <si>
    <r>
      <t>x</t>
    </r>
    <r>
      <rPr>
        <vertAlign val="subscript"/>
        <sz val="10"/>
        <rFont val="Verdana"/>
        <family val="2"/>
      </rPr>
      <t>bL0</t>
    </r>
  </si>
  <si>
    <r>
      <t>y</t>
    </r>
    <r>
      <rPr>
        <vertAlign val="subscript"/>
        <sz val="10"/>
        <rFont val="Verdana"/>
        <family val="2"/>
      </rPr>
      <t>bL0</t>
    </r>
  </si>
  <si>
    <r>
      <t>z</t>
    </r>
    <r>
      <rPr>
        <vertAlign val="subscript"/>
        <sz val="10"/>
        <rFont val="Verdana"/>
        <family val="2"/>
      </rPr>
      <t>bL0</t>
    </r>
  </si>
  <si>
    <r>
      <t>B</t>
    </r>
    <r>
      <rPr>
        <vertAlign val="subscript"/>
        <sz val="10"/>
        <rFont val="Verdana"/>
        <family val="2"/>
      </rPr>
      <t>L</t>
    </r>
  </si>
  <si>
    <r>
      <t>x</t>
    </r>
    <r>
      <rPr>
        <vertAlign val="subscript"/>
        <sz val="10"/>
        <rFont val="Verdana"/>
        <family val="2"/>
      </rPr>
      <t>bL</t>
    </r>
  </si>
  <si>
    <r>
      <t>y</t>
    </r>
    <r>
      <rPr>
        <vertAlign val="subscript"/>
        <sz val="10"/>
        <rFont val="Verdana"/>
        <family val="2"/>
      </rPr>
      <t>bL</t>
    </r>
  </si>
  <si>
    <r>
      <t>z</t>
    </r>
    <r>
      <rPr>
        <vertAlign val="subscript"/>
        <sz val="10"/>
        <rFont val="Verdana"/>
        <family val="2"/>
      </rPr>
      <t>bL</t>
    </r>
  </si>
  <si>
    <r>
      <t>l</t>
    </r>
    <r>
      <rPr>
        <vertAlign val="subscript"/>
        <sz val="10"/>
        <rFont val="Verdana"/>
        <family val="2"/>
      </rPr>
      <t>1L</t>
    </r>
    <r>
      <rPr>
        <sz val="10"/>
        <rFont val="Verdana"/>
        <family val="2"/>
      </rPr>
      <t>sin(α</t>
    </r>
    <r>
      <rPr>
        <vertAlign val="subscript"/>
        <sz val="10"/>
        <rFont val="Verdana"/>
        <family val="2"/>
      </rPr>
      <t>0L-</t>
    </r>
    <r>
      <rPr>
        <sz val="10"/>
        <rFont val="Verdana"/>
        <family val="2"/>
      </rPr>
      <t>α)</t>
    </r>
  </si>
  <si>
    <r>
      <t>l</t>
    </r>
    <r>
      <rPr>
        <vertAlign val="subscript"/>
        <sz val="10"/>
        <rFont val="Verdana"/>
        <family val="2"/>
      </rPr>
      <t>1L</t>
    </r>
    <r>
      <rPr>
        <sz val="10"/>
        <rFont val="Verdana"/>
        <family val="2"/>
      </rPr>
      <t>cos(α</t>
    </r>
    <r>
      <rPr>
        <vertAlign val="subscript"/>
        <sz val="10"/>
        <rFont val="Verdana"/>
        <family val="2"/>
      </rPr>
      <t>0L-</t>
    </r>
    <r>
      <rPr>
        <sz val="10"/>
        <rFont val="Verdana"/>
        <family val="2"/>
      </rPr>
      <t>α)</t>
    </r>
  </si>
  <si>
    <r>
      <t>B</t>
    </r>
    <r>
      <rPr>
        <vertAlign val="subscript"/>
        <sz val="10"/>
        <rFont val="Verdana"/>
        <family val="2"/>
      </rPr>
      <t>L</t>
    </r>
    <r>
      <rPr>
        <sz val="10"/>
        <rFont val="Verdana"/>
        <family val="2"/>
      </rPr>
      <t>C</t>
    </r>
    <r>
      <rPr>
        <vertAlign val="subscript"/>
        <sz val="10"/>
        <rFont val="Verdana"/>
        <family val="2"/>
      </rPr>
      <t>L</t>
    </r>
  </si>
  <si>
    <r>
      <t>l</t>
    </r>
    <r>
      <rPr>
        <vertAlign val="subscript"/>
        <sz val="10"/>
        <rFont val="Verdana"/>
        <family val="2"/>
      </rPr>
      <t>2L</t>
    </r>
  </si>
  <si>
    <r>
      <t>C</t>
    </r>
    <r>
      <rPr>
        <vertAlign val="subscript"/>
        <sz val="10"/>
        <rFont val="Verdana"/>
        <family val="2"/>
      </rPr>
      <t>L0</t>
    </r>
  </si>
  <si>
    <r>
      <t>x</t>
    </r>
    <r>
      <rPr>
        <vertAlign val="subscript"/>
        <sz val="10"/>
        <rFont val="Verdana"/>
        <family val="2"/>
      </rPr>
      <t>cL0</t>
    </r>
  </si>
  <si>
    <r>
      <t>y</t>
    </r>
    <r>
      <rPr>
        <vertAlign val="subscript"/>
        <sz val="10"/>
        <rFont val="Verdana"/>
        <family val="2"/>
      </rPr>
      <t>cL0</t>
    </r>
  </si>
  <si>
    <r>
      <t>z</t>
    </r>
    <r>
      <rPr>
        <vertAlign val="subscript"/>
        <sz val="10"/>
        <rFont val="Verdana"/>
        <family val="2"/>
      </rPr>
      <t>cL0</t>
    </r>
  </si>
  <si>
    <r>
      <t>C</t>
    </r>
    <r>
      <rPr>
        <vertAlign val="subscript"/>
        <sz val="10"/>
        <rFont val="Verdana"/>
        <family val="2"/>
      </rPr>
      <t>L</t>
    </r>
  </si>
  <si>
    <r>
      <t>x</t>
    </r>
    <r>
      <rPr>
        <vertAlign val="subscript"/>
        <sz val="10"/>
        <rFont val="Verdana"/>
        <family val="2"/>
      </rPr>
      <t>cL</t>
    </r>
  </si>
  <si>
    <r>
      <t>y</t>
    </r>
    <r>
      <rPr>
        <vertAlign val="subscript"/>
        <sz val="10"/>
        <rFont val="Verdana"/>
        <family val="2"/>
      </rPr>
      <t>cL</t>
    </r>
  </si>
  <si>
    <r>
      <t>z</t>
    </r>
    <r>
      <rPr>
        <vertAlign val="subscript"/>
        <sz val="10"/>
        <rFont val="Verdana"/>
        <family val="2"/>
      </rPr>
      <t>cL</t>
    </r>
  </si>
  <si>
    <r>
      <t>C</t>
    </r>
    <r>
      <rPr>
        <vertAlign val="subscript"/>
        <sz val="10"/>
        <rFont val="Verdana"/>
        <family val="2"/>
      </rPr>
      <t>L</t>
    </r>
    <r>
      <rPr>
        <sz val="10"/>
        <rFont val="Verdana"/>
        <family val="2"/>
      </rPr>
      <t>D</t>
    </r>
    <r>
      <rPr>
        <vertAlign val="subscript"/>
        <sz val="10"/>
        <rFont val="Verdana"/>
        <family val="2"/>
      </rPr>
      <t>L</t>
    </r>
  </si>
  <si>
    <r>
      <t>l</t>
    </r>
    <r>
      <rPr>
        <vertAlign val="subscript"/>
        <sz val="10"/>
        <rFont val="Verdana"/>
        <family val="2"/>
      </rPr>
      <t>3L</t>
    </r>
  </si>
  <si>
    <r>
      <t>D</t>
    </r>
    <r>
      <rPr>
        <vertAlign val="subscript"/>
        <sz val="10"/>
        <rFont val="Verdana"/>
        <family val="2"/>
      </rPr>
      <t>L</t>
    </r>
  </si>
  <si>
    <r>
      <t>x</t>
    </r>
    <r>
      <rPr>
        <vertAlign val="subscript"/>
        <sz val="10"/>
        <rFont val="Verdana"/>
        <family val="2"/>
      </rPr>
      <t>dL</t>
    </r>
  </si>
  <si>
    <r>
      <t>y</t>
    </r>
    <r>
      <rPr>
        <vertAlign val="subscript"/>
        <sz val="10"/>
        <rFont val="Verdana"/>
        <family val="2"/>
      </rPr>
      <t>dL</t>
    </r>
  </si>
  <si>
    <r>
      <t>z</t>
    </r>
    <r>
      <rPr>
        <vertAlign val="subscript"/>
        <sz val="10"/>
        <rFont val="Verdana"/>
        <family val="2"/>
      </rPr>
      <t>dL</t>
    </r>
  </si>
  <si>
    <r>
      <t>β</t>
    </r>
    <r>
      <rPr>
        <vertAlign val="subscript"/>
        <sz val="10"/>
        <rFont val="Verdana"/>
        <family val="2"/>
      </rPr>
      <t>L</t>
    </r>
  </si>
  <si>
    <r>
      <t>D</t>
    </r>
    <r>
      <rPr>
        <vertAlign val="subscript"/>
        <sz val="10"/>
        <rFont val="Verdana"/>
        <family val="2"/>
      </rPr>
      <t>L</t>
    </r>
    <r>
      <rPr>
        <sz val="10"/>
        <rFont val="Verdana"/>
        <family val="2"/>
      </rPr>
      <t>E</t>
    </r>
    <r>
      <rPr>
        <vertAlign val="subscript"/>
        <sz val="10"/>
        <rFont val="Verdana"/>
        <family val="2"/>
      </rPr>
      <t>L</t>
    </r>
  </si>
  <si>
    <r>
      <t>l</t>
    </r>
    <r>
      <rPr>
        <vertAlign val="subscript"/>
        <sz val="10"/>
        <rFont val="Verdana"/>
        <family val="2"/>
      </rPr>
      <t>4L</t>
    </r>
  </si>
  <si>
    <r>
      <t>E</t>
    </r>
    <r>
      <rPr>
        <vertAlign val="subscript"/>
        <sz val="10"/>
        <rFont val="Verdana"/>
        <family val="2"/>
      </rPr>
      <t>L</t>
    </r>
  </si>
  <si>
    <r>
      <t>x</t>
    </r>
    <r>
      <rPr>
        <vertAlign val="subscript"/>
        <sz val="10"/>
        <rFont val="Verdana"/>
        <family val="2"/>
      </rPr>
      <t>eL</t>
    </r>
  </si>
  <si>
    <r>
      <t>y</t>
    </r>
    <r>
      <rPr>
        <vertAlign val="subscript"/>
        <sz val="10"/>
        <rFont val="Verdana"/>
        <family val="2"/>
      </rPr>
      <t>eL</t>
    </r>
  </si>
  <si>
    <r>
      <t>F</t>
    </r>
    <r>
      <rPr>
        <vertAlign val="subscript"/>
        <sz val="10"/>
        <rFont val="Verdana"/>
        <family val="2"/>
      </rPr>
      <t>L</t>
    </r>
  </si>
  <si>
    <r>
      <t>X</t>
    </r>
    <r>
      <rPr>
        <vertAlign val="subscript"/>
        <sz val="10"/>
        <rFont val="Verdana"/>
        <family val="2"/>
      </rPr>
      <t>L</t>
    </r>
  </si>
  <si>
    <r>
      <t>R</t>
    </r>
    <r>
      <rPr>
        <vertAlign val="subscript"/>
        <sz val="10"/>
        <rFont val="Verdana"/>
        <family val="2"/>
      </rPr>
      <t>L</t>
    </r>
  </si>
  <si>
    <r>
      <t>TR</t>
    </r>
    <r>
      <rPr>
        <vertAlign val="subscript"/>
        <sz val="10"/>
        <rFont val="Verdana"/>
        <family val="2"/>
      </rPr>
      <t>L</t>
    </r>
  </si>
  <si>
    <t>β</t>
  </si>
  <si>
    <r>
      <t>C</t>
    </r>
    <r>
      <rPr>
        <b/>
        <vertAlign val="subscript"/>
        <sz val="8"/>
        <rFont val="Verdana"/>
        <family val="2"/>
      </rPr>
      <t>R</t>
    </r>
  </si>
  <si>
    <t>A</t>
  </si>
  <si>
    <t>=</t>
  </si>
  <si>
    <t>(</t>
  </si>
  <si>
    <t>,</t>
  </si>
  <si>
    <t>)</t>
  </si>
  <si>
    <r>
      <t>B</t>
    </r>
    <r>
      <rPr>
        <vertAlign val="subscript"/>
        <sz val="8"/>
        <rFont val="Verdana"/>
        <family val="2"/>
      </rPr>
      <t>R0</t>
    </r>
  </si>
  <si>
    <r>
      <t>B</t>
    </r>
    <r>
      <rPr>
        <vertAlign val="subscript"/>
        <sz val="8"/>
        <rFont val="Verdana"/>
        <family val="2"/>
      </rPr>
      <t>R</t>
    </r>
  </si>
  <si>
    <r>
      <t>C</t>
    </r>
    <r>
      <rPr>
        <vertAlign val="subscript"/>
        <sz val="8"/>
        <rFont val="Verdana"/>
        <family val="2"/>
      </rPr>
      <t>R</t>
    </r>
  </si>
  <si>
    <r>
      <t>D</t>
    </r>
    <r>
      <rPr>
        <vertAlign val="subscript"/>
        <sz val="8"/>
        <rFont val="Verdana"/>
        <family val="2"/>
      </rPr>
      <t>R</t>
    </r>
  </si>
  <si>
    <r>
      <t>l</t>
    </r>
    <r>
      <rPr>
        <vertAlign val="subscript"/>
        <sz val="8"/>
        <rFont val="Verdana"/>
        <family val="2"/>
      </rPr>
      <t>1R</t>
    </r>
  </si>
  <si>
    <r>
      <t>l</t>
    </r>
    <r>
      <rPr>
        <vertAlign val="subscript"/>
        <sz val="8"/>
        <rFont val="Verdana"/>
        <family val="2"/>
      </rPr>
      <t>2R</t>
    </r>
  </si>
  <si>
    <r>
      <t>l</t>
    </r>
    <r>
      <rPr>
        <vertAlign val="subscript"/>
        <sz val="8"/>
        <rFont val="Verdana"/>
        <family val="2"/>
      </rPr>
      <t>3R</t>
    </r>
  </si>
  <si>
    <t>steval</t>
  </si>
  <si>
    <t>ycR</t>
  </si>
  <si>
    <t>xcR</t>
  </si>
  <si>
    <r>
      <t>C</t>
    </r>
    <r>
      <rPr>
        <b/>
        <vertAlign val="subscript"/>
        <sz val="8"/>
        <rFont val="Verdana"/>
        <family val="2"/>
      </rPr>
      <t>L</t>
    </r>
  </si>
  <si>
    <t>A</t>
  </si>
  <si>
    <t>=</t>
  </si>
  <si>
    <t>(</t>
  </si>
  <si>
    <t>,</t>
  </si>
  <si>
    <t>)</t>
  </si>
  <si>
    <r>
      <t>B</t>
    </r>
    <r>
      <rPr>
        <vertAlign val="subscript"/>
        <sz val="8"/>
        <rFont val="Verdana"/>
        <family val="2"/>
      </rPr>
      <t>L0</t>
    </r>
  </si>
  <si>
    <r>
      <t>B</t>
    </r>
    <r>
      <rPr>
        <vertAlign val="subscript"/>
        <sz val="8"/>
        <rFont val="Verdana"/>
        <family val="2"/>
      </rPr>
      <t>L</t>
    </r>
  </si>
  <si>
    <r>
      <t>C</t>
    </r>
    <r>
      <rPr>
        <vertAlign val="subscript"/>
        <sz val="8"/>
        <rFont val="Verdana"/>
        <family val="2"/>
      </rPr>
      <t>L</t>
    </r>
  </si>
  <si>
    <r>
      <t>D</t>
    </r>
    <r>
      <rPr>
        <vertAlign val="subscript"/>
        <sz val="8"/>
        <rFont val="Verdana"/>
        <family val="2"/>
      </rPr>
      <t>L</t>
    </r>
  </si>
  <si>
    <r>
      <t>l</t>
    </r>
    <r>
      <rPr>
        <vertAlign val="subscript"/>
        <sz val="8"/>
        <rFont val="Verdana"/>
        <family val="2"/>
      </rPr>
      <t>1L</t>
    </r>
  </si>
  <si>
    <r>
      <t>l</t>
    </r>
    <r>
      <rPr>
        <vertAlign val="subscript"/>
        <sz val="8"/>
        <rFont val="Verdana"/>
        <family val="2"/>
      </rPr>
      <t>2L</t>
    </r>
  </si>
  <si>
    <r>
      <t>l</t>
    </r>
    <r>
      <rPr>
        <vertAlign val="subscript"/>
        <sz val="8"/>
        <rFont val="Verdana"/>
        <family val="2"/>
      </rPr>
      <t>3L</t>
    </r>
  </si>
  <si>
    <t>steval</t>
  </si>
  <si>
    <t>ycL</t>
  </si>
  <si>
    <t>xcL</t>
  </si>
  <si>
    <t>ycR</t>
  </si>
  <si>
    <t>xcR</t>
  </si>
  <si>
    <t>steval</t>
  </si>
  <si>
    <t>Servo Angle</t>
  </si>
  <si>
    <t>α</t>
  </si>
  <si>
    <t>Turning Radius (Wheel Center)</t>
  </si>
  <si>
    <t>R</t>
  </si>
  <si>
    <t>Turning Radius (RC Car Center)</t>
  </si>
  <si>
    <t>TR</t>
  </si>
  <si>
    <t>Wheel Steering Angle (Right)</t>
  </si>
  <si>
    <r>
      <t>β</t>
    </r>
    <r>
      <rPr>
        <vertAlign val="subscript"/>
        <sz val="10"/>
        <rFont val="Arial Narrow"/>
        <family val="2"/>
      </rPr>
      <t>R</t>
    </r>
  </si>
  <si>
    <t>Wheel Steering Angle (Left)</t>
  </si>
  <si>
    <r>
      <t>β</t>
    </r>
    <r>
      <rPr>
        <vertAlign val="subscript"/>
        <sz val="10"/>
        <rFont val="Arial Narrow"/>
        <family val="2"/>
      </rPr>
      <t>L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</si>
</sst>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_ ;[Red]\-#,##0.000\ "/>
    <numFmt numFmtId="179" formatCode="#,##0.0000;[Red]\-#,##0.0000"/>
    <numFmt numFmtId="180" formatCode="#,##0.00000;[Red]\-#,##0.00000"/>
    <numFmt numFmtId="181" formatCode="#,##0.000000;[Red]\-#,##0.000000"/>
    <numFmt numFmtId="182" formatCode="#,##0.000000_ ;[Red]\-#,##0.000000\ "/>
    <numFmt numFmtId="183" formatCode="#,##0.0_ ;[Red]\-#,##0.0\ "/>
    <numFmt numFmtId="184" formatCode="#,##0.0000000;[Red]\-#,##0.0000000"/>
    <numFmt numFmtId="185" formatCode="#,##0.00000000;[Red]\-#,##0.00000000"/>
    <numFmt numFmtId="186" formatCode="#,##0.000000000;[Red]\-#,##0.000000000"/>
    <numFmt numFmtId="187" formatCode="#,##0.0000000000;[Red]\-#,##0.0000000000"/>
    <numFmt numFmtId="188" formatCode="#,##0.00000000000;[Red]\-#,##0.00000000000"/>
    <numFmt numFmtId="189" formatCode="#,##0.000000000000;[Red]\-#,##0.000000000000"/>
    <numFmt numFmtId="190" formatCode="#,##0.0000000000000;[Red]\-#,##0.0000000000000"/>
    <numFmt numFmtId="191" formatCode="#,##0.00000000000000;[Red]\-#,##0.00000000000000"/>
    <numFmt numFmtId="192" formatCode="#,##0.000000000000000;[Red]\-#,##0.000000000000000"/>
    <numFmt numFmtId="193" formatCode="#,##0.0000000000000_ ;[Red]\-#,##0.0000000000000\ "/>
    <numFmt numFmtId="194" formatCode="#,##0.000000000000_ ;[Red]\-#,##0.000000000000\ "/>
    <numFmt numFmtId="195" formatCode="#,##0.0000000000_ ;[Red]\-#,##0.000000000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vertAlign val="subscript"/>
      <sz val="10"/>
      <name val="Verdana"/>
      <family val="2"/>
    </font>
    <font>
      <vertAlign val="subscript"/>
      <sz val="10"/>
      <name val="Verdana"/>
      <family val="2"/>
    </font>
    <font>
      <b/>
      <vertAlign val="subscript"/>
      <sz val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bscript"/>
      <sz val="8"/>
      <name val="Verdana"/>
      <family val="2"/>
    </font>
    <font>
      <sz val="6"/>
      <name val="Verdana"/>
      <family val="2"/>
    </font>
    <font>
      <sz val="8"/>
      <color indexed="12"/>
      <name val="Verdana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38" fontId="3" fillId="0" borderId="0" xfId="16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76" fontId="2" fillId="0" borderId="0" xfId="16" applyNumberFormat="1" applyFont="1" applyAlignment="1">
      <alignment horizontal="center" vertical="center"/>
    </xf>
    <xf numFmtId="177" fontId="3" fillId="0" borderId="0" xfId="16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3" fillId="0" borderId="0" xfId="16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38" fontId="2" fillId="2" borderId="0" xfId="16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7" fontId="3" fillId="0" borderId="0" xfId="0" applyNumberFormat="1" applyFont="1" applyAlignment="1">
      <alignment vertical="center"/>
    </xf>
    <xf numFmtId="38" fontId="3" fillId="2" borderId="0" xfId="16" applyFont="1" applyFill="1" applyAlignment="1">
      <alignment horizontal="center" vertical="center"/>
    </xf>
    <xf numFmtId="38" fontId="5" fillId="2" borderId="0" xfId="16" applyFont="1" applyFill="1" applyAlignment="1">
      <alignment horizontal="center" vertical="center"/>
    </xf>
    <xf numFmtId="179" fontId="3" fillId="0" borderId="0" xfId="16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77" fontId="4" fillId="0" borderId="0" xfId="16" applyNumberFormat="1" applyFont="1" applyAlignment="1">
      <alignment horizontal="center" vertical="center"/>
    </xf>
    <xf numFmtId="177" fontId="2" fillId="0" borderId="0" xfId="16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177" fontId="4" fillId="3" borderId="0" xfId="16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4" fillId="0" borderId="0" xfId="16" applyNumberFormat="1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2" fillId="0" borderId="0" xfId="16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0" fillId="0" borderId="0" xfId="16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77" fontId="10" fillId="2" borderId="0" xfId="16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76" fontId="10" fillId="0" borderId="0" xfId="16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8" fontId="10" fillId="0" borderId="0" xfId="16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81" fontId="10" fillId="0" borderId="2" xfId="16" applyNumberFormat="1" applyFont="1" applyBorder="1" applyAlignment="1">
      <alignment horizontal="right" vertical="center"/>
    </xf>
    <xf numFmtId="181" fontId="10" fillId="0" borderId="3" xfId="16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181" fontId="10" fillId="0" borderId="5" xfId="16" applyNumberFormat="1" applyFont="1" applyBorder="1" applyAlignment="1">
      <alignment horizontal="right" vertical="center"/>
    </xf>
    <xf numFmtId="181" fontId="9" fillId="0" borderId="6" xfId="16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181" fontId="10" fillId="0" borderId="8" xfId="16" applyNumberFormat="1" applyFont="1" applyBorder="1" applyAlignment="1">
      <alignment horizontal="right" vertical="center"/>
    </xf>
    <xf numFmtId="181" fontId="13" fillId="0" borderId="8" xfId="16" applyNumberFormat="1" applyFont="1" applyBorder="1" applyAlignment="1">
      <alignment horizontal="right" vertical="center"/>
    </xf>
    <xf numFmtId="181" fontId="10" fillId="0" borderId="9" xfId="16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181" fontId="10" fillId="0" borderId="2" xfId="16" applyNumberFormat="1" applyFont="1" applyFill="1" applyBorder="1" applyAlignment="1">
      <alignment horizontal="right" vertical="center"/>
    </xf>
    <xf numFmtId="181" fontId="10" fillId="2" borderId="3" xfId="16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181" fontId="10" fillId="0" borderId="5" xfId="16" applyNumberFormat="1" applyFont="1" applyFill="1" applyBorder="1" applyAlignment="1">
      <alignment horizontal="right" vertical="center"/>
    </xf>
    <xf numFmtId="181" fontId="9" fillId="0" borderId="6" xfId="16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181" fontId="10" fillId="0" borderId="8" xfId="16" applyNumberFormat="1" applyFont="1" applyFill="1" applyBorder="1" applyAlignment="1">
      <alignment horizontal="right" vertical="center"/>
    </xf>
    <xf numFmtId="181" fontId="10" fillId="2" borderId="9" xfId="16" applyNumberFormat="1" applyFont="1" applyFill="1" applyBorder="1" applyAlignment="1">
      <alignment horizontal="right" vertical="center"/>
    </xf>
    <xf numFmtId="181" fontId="9" fillId="0" borderId="5" xfId="16" applyNumberFormat="1" applyFont="1" applyBorder="1" applyAlignment="1">
      <alignment horizontal="right" vertical="center"/>
    </xf>
    <xf numFmtId="181" fontId="10" fillId="2" borderId="2" xfId="16" applyNumberFormat="1" applyFont="1" applyFill="1" applyBorder="1" applyAlignment="1">
      <alignment horizontal="right" vertical="center"/>
    </xf>
    <xf numFmtId="181" fontId="10" fillId="2" borderId="8" xfId="16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38" fontId="14" fillId="0" borderId="10" xfId="16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10" xfId="16" applyNumberFormat="1" applyFont="1" applyBorder="1" applyAlignment="1">
      <alignment horizontal="left" vertical="center" wrapText="1"/>
    </xf>
    <xf numFmtId="176" fontId="14" fillId="0" borderId="10" xfId="16" applyNumberFormat="1" applyFont="1" applyBorder="1" applyAlignment="1">
      <alignment horizontal="center" vertical="center"/>
    </xf>
    <xf numFmtId="176" fontId="14" fillId="0" borderId="0" xfId="16" applyNumberFormat="1" applyFont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38" fontId="14" fillId="0" borderId="10" xfId="16" applyFont="1" applyBorder="1" applyAlignment="1">
      <alignment horizontal="center" vertical="center" shrinkToFit="1"/>
    </xf>
    <xf numFmtId="176" fontId="14" fillId="0" borderId="10" xfId="16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38" fontId="14" fillId="0" borderId="0" xfId="16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zoomScale="75" zoomScaleNormal="75" workbookViewId="0" topLeftCell="A1">
      <selection activeCell="E54" sqref="E54"/>
    </sheetView>
  </sheetViews>
  <sheetFormatPr defaultColWidth="9.00390625" defaultRowHeight="13.5"/>
  <cols>
    <col min="1" max="16384" width="9.00390625" style="2" customWidth="1"/>
  </cols>
  <sheetData>
    <row r="1" ht="12.75">
      <c r="A1" s="1" t="s">
        <v>57</v>
      </c>
    </row>
  </sheetData>
  <printOptions/>
  <pageMargins left="0.75" right="0.75" top="1" bottom="1" header="0.512" footer="0.512"/>
  <pageSetup horizontalDpi="300" verticalDpi="300" orientation="portrait" paperSize="9" r:id="rId3"/>
  <legacyDrawing r:id="rId2"/>
  <oleObjects>
    <oleObject progId="AutoCAD.Drawing.16" shapeId="1289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2.75">
      <c r="A1" s="1" t="s">
        <v>58</v>
      </c>
    </row>
  </sheetData>
  <printOptions/>
  <pageMargins left="0.75" right="0.75" top="1" bottom="1" header="0.512" footer="0.512"/>
  <pageSetup horizontalDpi="300" verticalDpi="300" orientation="portrait" paperSize="9" r:id="rId3"/>
  <legacyDrawing r:id="rId2"/>
  <oleObjects>
    <oleObject progId="AutoCAD.Drawing.16" shapeId="1289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2.75">
      <c r="A1" s="1" t="s">
        <v>59</v>
      </c>
    </row>
  </sheetData>
  <printOptions/>
  <pageMargins left="0.75" right="0.75" top="1" bottom="1" header="0.512" footer="0.512"/>
  <pageSetup horizontalDpi="300" verticalDpi="300" orientation="portrait" paperSize="9" r:id="rId3"/>
  <legacyDrawing r:id="rId2"/>
  <oleObjects>
    <oleObject progId="AutoCAD.Drawing.16" shapeId="1289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22"/>
  <sheetViews>
    <sheetView workbookViewId="0" topLeftCell="A1">
      <selection activeCell="A1" sqref="A1"/>
    </sheetView>
  </sheetViews>
  <sheetFormatPr defaultColWidth="9.00390625" defaultRowHeight="13.5"/>
  <cols>
    <col min="1" max="1" width="22.50390625" style="2" customWidth="1"/>
    <col min="2" max="2" width="6.50390625" style="2" bestFit="1" customWidth="1"/>
    <col min="3" max="3" width="3.125" style="3" bestFit="1" customWidth="1"/>
    <col min="4" max="4" width="2.25390625" style="4" customWidth="1"/>
    <col min="5" max="5" width="12.50390625" style="3" bestFit="1" customWidth="1"/>
    <col min="6" max="6" width="4.25390625" style="5" bestFit="1" customWidth="1"/>
    <col min="7" max="7" width="9.125" style="3" bestFit="1" customWidth="1"/>
    <col min="8" max="8" width="2.25390625" style="3" bestFit="1" customWidth="1"/>
    <col min="9" max="9" width="13.125" style="3" bestFit="1" customWidth="1"/>
    <col min="10" max="10" width="4.25390625" style="5" bestFit="1" customWidth="1"/>
    <col min="11" max="11" width="4.625" style="2" customWidth="1"/>
    <col min="12" max="12" width="2.25390625" style="4" customWidth="1"/>
    <col min="13" max="13" width="12.50390625" style="3" customWidth="1"/>
    <col min="14" max="14" width="4.25390625" style="5" customWidth="1"/>
    <col min="15" max="15" width="9.125" style="3" customWidth="1"/>
    <col min="16" max="16" width="2.25390625" style="3" customWidth="1"/>
    <col min="17" max="17" width="13.125" style="3" customWidth="1"/>
    <col min="18" max="18" width="4.25390625" style="5" customWidth="1"/>
    <col min="19" max="19" width="4.625" style="2" customWidth="1"/>
    <col min="20" max="20" width="2.25390625" style="4" customWidth="1"/>
    <col min="21" max="21" width="12.50390625" style="3" customWidth="1"/>
    <col min="22" max="22" width="4.25390625" style="5" customWidth="1"/>
    <col min="23" max="23" width="9.125" style="3" customWidth="1"/>
    <col min="24" max="24" width="2.25390625" style="3" customWidth="1"/>
    <col min="25" max="25" width="13.125" style="3" customWidth="1"/>
    <col min="26" max="26" width="4.25390625" style="5" customWidth="1"/>
    <col min="27" max="16384" width="9.00390625" style="2" customWidth="1"/>
  </cols>
  <sheetData>
    <row r="1" ht="12.75">
      <c r="A1" s="1" t="s">
        <v>60</v>
      </c>
    </row>
    <row r="2" spans="1:21" ht="12.75">
      <c r="A2" s="1"/>
      <c r="E2" s="6"/>
      <c r="M2" s="6"/>
      <c r="U2" s="6"/>
    </row>
    <row r="3" spans="1:25" ht="12.75">
      <c r="A3" s="1"/>
      <c r="B3" s="2" t="s">
        <v>61</v>
      </c>
      <c r="C3" s="3" t="s">
        <v>62</v>
      </c>
      <c r="E3" s="7">
        <v>-39</v>
      </c>
      <c r="G3" s="8"/>
      <c r="H3" s="8"/>
      <c r="I3" s="8"/>
      <c r="M3" s="7">
        <v>39</v>
      </c>
      <c r="O3" s="8"/>
      <c r="P3" s="8"/>
      <c r="Q3" s="8"/>
      <c r="U3" s="7">
        <v>-39</v>
      </c>
      <c r="W3" s="8"/>
      <c r="X3" s="8"/>
      <c r="Y3" s="8"/>
    </row>
    <row r="4" ht="12.75">
      <c r="A4" s="1"/>
    </row>
    <row r="5" spans="1:26" ht="12.75">
      <c r="A5" s="9" t="s">
        <v>63</v>
      </c>
      <c r="B5" s="1" t="s">
        <v>64</v>
      </c>
      <c r="C5" s="3" t="s">
        <v>62</v>
      </c>
      <c r="E5" s="10">
        <f>+E6</f>
        <v>-34.125</v>
      </c>
      <c r="F5" s="5" t="s">
        <v>65</v>
      </c>
      <c r="G5" s="11"/>
      <c r="H5" s="11"/>
      <c r="I5" s="11"/>
      <c r="J5" s="3"/>
      <c r="M5" s="10">
        <v>34.125</v>
      </c>
      <c r="N5" s="5" t="s">
        <v>0</v>
      </c>
      <c r="O5" s="11"/>
      <c r="P5" s="11"/>
      <c r="Q5" s="11"/>
      <c r="R5" s="3"/>
      <c r="U5" s="10">
        <v>-34.125</v>
      </c>
      <c r="V5" s="5" t="s">
        <v>0</v>
      </c>
      <c r="W5" s="11"/>
      <c r="X5" s="11"/>
      <c r="Y5" s="11"/>
      <c r="Z5" s="3"/>
    </row>
    <row r="6" spans="1:21" ht="12.75">
      <c r="A6" s="1"/>
      <c r="C6" s="2"/>
      <c r="E6" s="11">
        <f>+E24</f>
        <v>-34.125</v>
      </c>
      <c r="M6" s="11">
        <v>34.125</v>
      </c>
      <c r="U6" s="11">
        <v>-34.125</v>
      </c>
    </row>
    <row r="7" spans="1:22" ht="12.75">
      <c r="A7" s="12" t="s">
        <v>66</v>
      </c>
      <c r="B7" s="13" t="s">
        <v>67</v>
      </c>
      <c r="C7" s="14" t="s">
        <v>62</v>
      </c>
      <c r="E7" s="15">
        <f>+E120</f>
        <v>267.45165557648363</v>
      </c>
      <c r="F7" s="5" t="s">
        <v>68</v>
      </c>
      <c r="M7" s="15">
        <v>274.71716589555786</v>
      </c>
      <c r="N7" s="5" t="s">
        <v>1</v>
      </c>
      <c r="U7" s="15">
        <v>267.45165557648363</v>
      </c>
      <c r="V7" s="5" t="s">
        <v>1</v>
      </c>
    </row>
    <row r="8" spans="1:26" ht="12.75">
      <c r="A8" s="12" t="s">
        <v>69</v>
      </c>
      <c r="B8" s="13" t="s">
        <v>70</v>
      </c>
      <c r="C8" s="14" t="s">
        <v>62</v>
      </c>
      <c r="D8" s="16"/>
      <c r="E8" s="15">
        <f>+E122</f>
        <v>195.0800460015931</v>
      </c>
      <c r="F8" s="5" t="s">
        <v>68</v>
      </c>
      <c r="G8" s="17" t="s">
        <v>71</v>
      </c>
      <c r="H8" s="18" t="s">
        <v>62</v>
      </c>
      <c r="I8" s="18">
        <f>+E8*2</f>
        <v>390.1600920031862</v>
      </c>
      <c r="J8" s="19" t="s">
        <v>68</v>
      </c>
      <c r="K8" s="20"/>
      <c r="L8" s="16"/>
      <c r="M8" s="15">
        <v>202.62033038867025</v>
      </c>
      <c r="N8" s="5" t="s">
        <v>1</v>
      </c>
      <c r="O8" s="21" t="s">
        <v>2</v>
      </c>
      <c r="P8" s="18" t="s">
        <v>3</v>
      </c>
      <c r="Q8" s="18">
        <v>405.2406607773405</v>
      </c>
      <c r="R8" s="19" t="s">
        <v>1</v>
      </c>
      <c r="S8" s="20"/>
      <c r="T8" s="16"/>
      <c r="U8" s="15">
        <v>195.0800460015931</v>
      </c>
      <c r="V8" s="5" t="s">
        <v>1</v>
      </c>
      <c r="W8" s="18" t="s">
        <v>2</v>
      </c>
      <c r="X8" s="22" t="s">
        <v>3</v>
      </c>
      <c r="Y8" s="22">
        <v>390.1600920031862</v>
      </c>
      <c r="Z8" s="19" t="s">
        <v>1</v>
      </c>
    </row>
    <row r="9" spans="2:25" ht="14.25">
      <c r="B9" s="1" t="s">
        <v>72</v>
      </c>
      <c r="C9" s="3" t="s">
        <v>62</v>
      </c>
      <c r="D9" s="16"/>
      <c r="E9" s="15">
        <f>+E49</f>
        <v>23.13267996398084</v>
      </c>
      <c r="F9" s="5" t="s">
        <v>65</v>
      </c>
      <c r="G9" s="23"/>
      <c r="H9" s="8"/>
      <c r="I9" s="8"/>
      <c r="L9" s="16"/>
      <c r="M9" s="15">
        <v>-31.597086541887347</v>
      </c>
      <c r="N9" s="5" t="s">
        <v>0</v>
      </c>
      <c r="O9" s="8"/>
      <c r="P9" s="8"/>
      <c r="Q9" s="8"/>
      <c r="T9" s="16"/>
      <c r="U9" s="15">
        <v>23.13267996398084</v>
      </c>
      <c r="V9" s="5" t="s">
        <v>0</v>
      </c>
      <c r="W9" s="8"/>
      <c r="X9" s="8"/>
      <c r="Y9" s="8"/>
    </row>
    <row r="10" spans="1:22" ht="14.25">
      <c r="A10" s="12"/>
      <c r="B10" s="1" t="s">
        <v>73</v>
      </c>
      <c r="C10" s="3" t="s">
        <v>62</v>
      </c>
      <c r="E10" s="15">
        <f>+E96</f>
        <v>30.823341647751253</v>
      </c>
      <c r="F10" s="5" t="s">
        <v>65</v>
      </c>
      <c r="M10" s="15">
        <v>-22.441694525181443</v>
      </c>
      <c r="N10" s="5" t="s">
        <v>0</v>
      </c>
      <c r="U10" s="15">
        <v>30.823341647751253</v>
      </c>
      <c r="V10" s="5" t="s">
        <v>0</v>
      </c>
    </row>
    <row r="11" spans="5:21" ht="12.75">
      <c r="E11" s="24"/>
      <c r="M11" s="24"/>
      <c r="U11" s="24"/>
    </row>
    <row r="12" spans="2:25" ht="12.75">
      <c r="B12" s="6" t="s">
        <v>74</v>
      </c>
      <c r="C12" s="3" t="s">
        <v>62</v>
      </c>
      <c r="D12" s="4" t="s">
        <v>75</v>
      </c>
      <c r="E12" s="24">
        <f>+E116</f>
        <v>0</v>
      </c>
      <c r="F12" s="5" t="s">
        <v>76</v>
      </c>
      <c r="G12" s="24">
        <f>+G116</f>
        <v>76.63947735273481</v>
      </c>
      <c r="H12" s="5" t="s">
        <v>77</v>
      </c>
      <c r="I12" s="24"/>
      <c r="L12" s="4" t="s">
        <v>4</v>
      </c>
      <c r="M12" s="24">
        <v>0</v>
      </c>
      <c r="N12" s="5" t="s">
        <v>5</v>
      </c>
      <c r="O12" s="24">
        <v>77.34890773205315</v>
      </c>
      <c r="P12" s="5" t="s">
        <v>6</v>
      </c>
      <c r="Q12" s="24"/>
      <c r="T12" s="4" t="s">
        <v>4</v>
      </c>
      <c r="U12" s="24">
        <v>0</v>
      </c>
      <c r="V12" s="5" t="s">
        <v>5</v>
      </c>
      <c r="W12" s="24">
        <v>76.63947735273481</v>
      </c>
      <c r="X12" s="5" t="s">
        <v>6</v>
      </c>
      <c r="Y12" s="24"/>
    </row>
    <row r="13" spans="2:25" ht="12.75">
      <c r="B13" s="13" t="s">
        <v>78</v>
      </c>
      <c r="C13" s="3" t="s">
        <v>62</v>
      </c>
      <c r="D13" s="4" t="s">
        <v>75</v>
      </c>
      <c r="E13" s="25">
        <f>+E118</f>
        <v>-179.39513610765295</v>
      </c>
      <c r="F13" s="5" t="s">
        <v>76</v>
      </c>
      <c r="G13" s="26">
        <f>+G118</f>
        <v>0</v>
      </c>
      <c r="H13" s="5" t="s">
        <v>77</v>
      </c>
      <c r="I13" s="26"/>
      <c r="L13" s="4" t="s">
        <v>4</v>
      </c>
      <c r="M13" s="26">
        <v>187.2755850597515</v>
      </c>
      <c r="N13" s="5" t="s">
        <v>5</v>
      </c>
      <c r="O13" s="26">
        <v>0</v>
      </c>
      <c r="P13" s="5" t="s">
        <v>6</v>
      </c>
      <c r="Q13" s="26"/>
      <c r="T13" s="4" t="s">
        <v>4</v>
      </c>
      <c r="U13" s="26">
        <v>-179.39513610765295</v>
      </c>
      <c r="V13" s="5" t="s">
        <v>5</v>
      </c>
      <c r="W13" s="26">
        <v>0</v>
      </c>
      <c r="X13" s="5" t="s">
        <v>6</v>
      </c>
      <c r="Y13" s="26"/>
    </row>
    <row r="14" spans="2:22" ht="12.75">
      <c r="B14" s="27" t="s">
        <v>79</v>
      </c>
      <c r="C14" s="17" t="s">
        <v>62</v>
      </c>
      <c r="D14" s="28"/>
      <c r="E14" s="18">
        <f>+E13*2</f>
        <v>-358.7902722153059</v>
      </c>
      <c r="F14" s="19" t="s">
        <v>68</v>
      </c>
      <c r="L14" s="28"/>
      <c r="M14" s="18">
        <v>374.551170119503</v>
      </c>
      <c r="N14" s="19" t="s">
        <v>1</v>
      </c>
      <c r="U14" s="18">
        <v>-358.7902722153059</v>
      </c>
      <c r="V14" s="19" t="s">
        <v>1</v>
      </c>
    </row>
    <row r="15" ht="12.75">
      <c r="A15" s="29" t="s">
        <v>80</v>
      </c>
    </row>
    <row r="16" spans="2:26" ht="14.25">
      <c r="B16" s="2" t="s">
        <v>81</v>
      </c>
      <c r="C16" s="3" t="s">
        <v>62</v>
      </c>
      <c r="D16" s="4" t="s">
        <v>75</v>
      </c>
      <c r="E16" s="3" t="s">
        <v>82</v>
      </c>
      <c r="F16" s="3" t="s">
        <v>76</v>
      </c>
      <c r="G16" s="3" t="s">
        <v>83</v>
      </c>
      <c r="H16" s="3" t="s">
        <v>76</v>
      </c>
      <c r="I16" s="3" t="s">
        <v>84</v>
      </c>
      <c r="J16" s="5" t="s">
        <v>77</v>
      </c>
      <c r="L16" s="4" t="s">
        <v>4</v>
      </c>
      <c r="M16" s="3" t="s">
        <v>7</v>
      </c>
      <c r="N16" s="3" t="s">
        <v>5</v>
      </c>
      <c r="O16" s="3" t="s">
        <v>8</v>
      </c>
      <c r="P16" s="3" t="s">
        <v>5</v>
      </c>
      <c r="Q16" s="3" t="s">
        <v>9</v>
      </c>
      <c r="R16" s="5" t="s">
        <v>6</v>
      </c>
      <c r="T16" s="4" t="s">
        <v>4</v>
      </c>
      <c r="U16" s="3" t="s">
        <v>7</v>
      </c>
      <c r="V16" s="3" t="s">
        <v>5</v>
      </c>
      <c r="W16" s="3" t="s">
        <v>8</v>
      </c>
      <c r="X16" s="3" t="s">
        <v>5</v>
      </c>
      <c r="Y16" s="3" t="s">
        <v>9</v>
      </c>
      <c r="Z16" s="5" t="s">
        <v>6</v>
      </c>
    </row>
    <row r="17" spans="3:26" ht="12.75">
      <c r="C17" s="3" t="s">
        <v>62</v>
      </c>
      <c r="D17" s="4" t="s">
        <v>75</v>
      </c>
      <c r="E17" s="30">
        <v>0</v>
      </c>
      <c r="F17" s="3" t="s">
        <v>76</v>
      </c>
      <c r="G17" s="30">
        <v>82</v>
      </c>
      <c r="H17" s="3" t="s">
        <v>76</v>
      </c>
      <c r="I17" s="30">
        <v>0</v>
      </c>
      <c r="J17" s="5" t="s">
        <v>77</v>
      </c>
      <c r="L17" s="4" t="s">
        <v>4</v>
      </c>
      <c r="M17" s="30">
        <v>0</v>
      </c>
      <c r="N17" s="3" t="s">
        <v>5</v>
      </c>
      <c r="O17" s="30">
        <v>82</v>
      </c>
      <c r="P17" s="3" t="s">
        <v>5</v>
      </c>
      <c r="Q17" s="30">
        <v>0</v>
      </c>
      <c r="R17" s="5" t="s">
        <v>6</v>
      </c>
      <c r="T17" s="4" t="s">
        <v>4</v>
      </c>
      <c r="U17" s="30">
        <v>0</v>
      </c>
      <c r="V17" s="3" t="s">
        <v>5</v>
      </c>
      <c r="W17" s="30">
        <v>82</v>
      </c>
      <c r="X17" s="3" t="s">
        <v>5</v>
      </c>
      <c r="Y17" s="30">
        <v>0</v>
      </c>
      <c r="Z17" s="5" t="s">
        <v>6</v>
      </c>
    </row>
    <row r="18" spans="5:25" ht="12.75">
      <c r="E18" s="31"/>
      <c r="G18" s="31"/>
      <c r="H18" s="31"/>
      <c r="I18" s="31"/>
      <c r="M18" s="31"/>
      <c r="O18" s="31"/>
      <c r="P18" s="31"/>
      <c r="Q18" s="31"/>
      <c r="U18" s="31"/>
      <c r="W18" s="31"/>
      <c r="X18" s="31"/>
      <c r="Y18" s="31"/>
    </row>
    <row r="19" spans="1:25" ht="14.25">
      <c r="A19" s="32" t="s">
        <v>85</v>
      </c>
      <c r="B19" s="6" t="s">
        <v>86</v>
      </c>
      <c r="C19" s="3" t="s">
        <v>62</v>
      </c>
      <c r="E19" s="3" t="s">
        <v>87</v>
      </c>
      <c r="G19" s="31"/>
      <c r="H19" s="31"/>
      <c r="I19" s="31"/>
      <c r="M19" s="3" t="s">
        <v>10</v>
      </c>
      <c r="O19" s="31"/>
      <c r="P19" s="31"/>
      <c r="Q19" s="31"/>
      <c r="U19" s="3" t="s">
        <v>10</v>
      </c>
      <c r="W19" s="31"/>
      <c r="X19" s="31"/>
      <c r="Y19" s="31"/>
    </row>
    <row r="20" spans="3:25" ht="12.75">
      <c r="C20" s="3" t="s">
        <v>62</v>
      </c>
      <c r="E20" s="10">
        <f>SQRT(E27^2+I27^2)</f>
        <v>24.035182545593447</v>
      </c>
      <c r="F20" s="5" t="s">
        <v>68</v>
      </c>
      <c r="G20" s="31"/>
      <c r="H20" s="31"/>
      <c r="I20" s="31"/>
      <c r="M20" s="10">
        <v>24.035182545593447</v>
      </c>
      <c r="N20" s="5" t="s">
        <v>1</v>
      </c>
      <c r="O20" s="31"/>
      <c r="P20" s="31"/>
      <c r="Q20" s="31"/>
      <c r="U20" s="10">
        <v>24.035182545593447</v>
      </c>
      <c r="V20" s="5" t="s">
        <v>1</v>
      </c>
      <c r="W20" s="31"/>
      <c r="X20" s="31"/>
      <c r="Y20" s="31"/>
    </row>
    <row r="21" spans="5:25" ht="12.75">
      <c r="E21" s="31"/>
      <c r="G21" s="31"/>
      <c r="H21" s="31"/>
      <c r="I21" s="31"/>
      <c r="M21" s="31"/>
      <c r="O21" s="31"/>
      <c r="P21" s="31"/>
      <c r="Q21" s="31"/>
      <c r="U21" s="31"/>
      <c r="W21" s="31"/>
      <c r="X21" s="31"/>
      <c r="Y21" s="31"/>
    </row>
    <row r="22" spans="2:25" ht="14.25">
      <c r="B22" s="6" t="s">
        <v>88</v>
      </c>
      <c r="C22" s="3" t="s">
        <v>62</v>
      </c>
      <c r="E22" s="10">
        <f>DEGREES(ATAN2(ABS(I27),E27))</f>
        <v>9.57989204201204</v>
      </c>
      <c r="F22" s="5" t="s">
        <v>65</v>
      </c>
      <c r="G22" s="31"/>
      <c r="H22" s="31"/>
      <c r="I22" s="31"/>
      <c r="M22" s="10">
        <v>9.57989204201204</v>
      </c>
      <c r="N22" s="5" t="s">
        <v>0</v>
      </c>
      <c r="O22" s="31"/>
      <c r="P22" s="31"/>
      <c r="Q22" s="31"/>
      <c r="U22" s="10">
        <v>9.57989204201204</v>
      </c>
      <c r="V22" s="5" t="s">
        <v>0</v>
      </c>
      <c r="W22" s="31"/>
      <c r="X22" s="31"/>
      <c r="Y22" s="31"/>
    </row>
    <row r="23" spans="5:25" ht="12.75">
      <c r="E23" s="31"/>
      <c r="G23" s="31"/>
      <c r="H23" s="31"/>
      <c r="I23" s="31"/>
      <c r="M23" s="31"/>
      <c r="O23" s="31"/>
      <c r="P23" s="31"/>
      <c r="Q23" s="31"/>
      <c r="U23" s="31"/>
      <c r="W23" s="31"/>
      <c r="X23" s="31"/>
      <c r="Y23" s="31"/>
    </row>
    <row r="24" spans="2:26" ht="12.75">
      <c r="B24" s="2" t="s">
        <v>64</v>
      </c>
      <c r="C24" s="3" t="s">
        <v>62</v>
      </c>
      <c r="E24" s="10">
        <f>E3*(112/128)</f>
        <v>-34.125</v>
      </c>
      <c r="F24" s="5" t="s">
        <v>65</v>
      </c>
      <c r="G24" s="11"/>
      <c r="H24" s="11"/>
      <c r="I24" s="11"/>
      <c r="J24" s="3"/>
      <c r="M24" s="10">
        <v>34.125</v>
      </c>
      <c r="N24" s="5" t="s">
        <v>0</v>
      </c>
      <c r="O24" s="11"/>
      <c r="P24" s="11"/>
      <c r="Q24" s="11"/>
      <c r="R24" s="3"/>
      <c r="U24" s="10">
        <v>-34.125</v>
      </c>
      <c r="V24" s="5" t="s">
        <v>0</v>
      </c>
      <c r="W24" s="11"/>
      <c r="X24" s="11"/>
      <c r="Y24" s="11"/>
      <c r="Z24" s="3"/>
    </row>
    <row r="25" spans="5:25" ht="12.75">
      <c r="E25" s="31"/>
      <c r="G25" s="31"/>
      <c r="H25" s="31"/>
      <c r="I25" s="31"/>
      <c r="M25" s="31"/>
      <c r="O25" s="31"/>
      <c r="P25" s="31"/>
      <c r="Q25" s="31"/>
      <c r="U25" s="31"/>
      <c r="W25" s="31"/>
      <c r="X25" s="31"/>
      <c r="Y25" s="31"/>
    </row>
    <row r="26" spans="2:26" ht="14.25">
      <c r="B26" s="6" t="s">
        <v>89</v>
      </c>
      <c r="C26" s="3" t="s">
        <v>62</v>
      </c>
      <c r="D26" s="4" t="s">
        <v>75</v>
      </c>
      <c r="E26" s="3" t="s">
        <v>90</v>
      </c>
      <c r="F26" s="3" t="s">
        <v>76</v>
      </c>
      <c r="G26" s="3" t="s">
        <v>91</v>
      </c>
      <c r="H26" s="3" t="s">
        <v>76</v>
      </c>
      <c r="I26" s="3" t="s">
        <v>92</v>
      </c>
      <c r="J26" s="5" t="s">
        <v>77</v>
      </c>
      <c r="L26" s="4" t="s">
        <v>4</v>
      </c>
      <c r="M26" s="3" t="s">
        <v>11</v>
      </c>
      <c r="N26" s="3" t="s">
        <v>5</v>
      </c>
      <c r="O26" s="3" t="s">
        <v>12</v>
      </c>
      <c r="P26" s="3" t="s">
        <v>5</v>
      </c>
      <c r="Q26" s="3" t="s">
        <v>13</v>
      </c>
      <c r="R26" s="5" t="s">
        <v>6</v>
      </c>
      <c r="T26" s="4" t="s">
        <v>4</v>
      </c>
      <c r="U26" s="3" t="s">
        <v>11</v>
      </c>
      <c r="V26" s="3" t="s">
        <v>5</v>
      </c>
      <c r="W26" s="3" t="s">
        <v>12</v>
      </c>
      <c r="X26" s="3" t="s">
        <v>5</v>
      </c>
      <c r="Y26" s="3" t="s">
        <v>13</v>
      </c>
      <c r="Z26" s="5" t="s">
        <v>6</v>
      </c>
    </row>
    <row r="27" spans="3:26" ht="12.75">
      <c r="C27" s="3" t="s">
        <v>62</v>
      </c>
      <c r="D27" s="4" t="s">
        <v>75</v>
      </c>
      <c r="E27" s="30">
        <v>4</v>
      </c>
      <c r="F27" s="3" t="s">
        <v>76</v>
      </c>
      <c r="G27" s="30">
        <v>70</v>
      </c>
      <c r="H27" s="3" t="s">
        <v>76</v>
      </c>
      <c r="I27" s="33">
        <v>-23.7</v>
      </c>
      <c r="J27" s="5" t="s">
        <v>77</v>
      </c>
      <c r="L27" s="4" t="s">
        <v>4</v>
      </c>
      <c r="M27" s="30">
        <v>4</v>
      </c>
      <c r="N27" s="3" t="s">
        <v>5</v>
      </c>
      <c r="O27" s="30">
        <v>70</v>
      </c>
      <c r="P27" s="3" t="s">
        <v>5</v>
      </c>
      <c r="Q27" s="30">
        <v>-23.7</v>
      </c>
      <c r="R27" s="5" t="s">
        <v>6</v>
      </c>
      <c r="T27" s="4" t="s">
        <v>4</v>
      </c>
      <c r="U27" s="30">
        <v>4</v>
      </c>
      <c r="V27" s="3" t="s">
        <v>5</v>
      </c>
      <c r="W27" s="30">
        <v>70</v>
      </c>
      <c r="X27" s="3" t="s">
        <v>5</v>
      </c>
      <c r="Y27" s="30">
        <v>-23.7</v>
      </c>
      <c r="Z27" s="5" t="s">
        <v>6</v>
      </c>
    </row>
    <row r="28" spans="5:25" ht="12.75">
      <c r="E28" s="31"/>
      <c r="G28" s="31"/>
      <c r="H28" s="31"/>
      <c r="I28" s="31"/>
      <c r="M28" s="31"/>
      <c r="O28" s="31"/>
      <c r="P28" s="31"/>
      <c r="Q28" s="31"/>
      <c r="U28" s="31"/>
      <c r="W28" s="31"/>
      <c r="X28" s="31"/>
      <c r="Y28" s="31"/>
    </row>
    <row r="29" spans="2:26" ht="14.25">
      <c r="B29" s="6" t="s">
        <v>93</v>
      </c>
      <c r="C29" s="3" t="s">
        <v>62</v>
      </c>
      <c r="D29" s="4" t="s">
        <v>75</v>
      </c>
      <c r="E29" s="3" t="s">
        <v>94</v>
      </c>
      <c r="F29" s="3" t="s">
        <v>76</v>
      </c>
      <c r="G29" s="3" t="s">
        <v>95</v>
      </c>
      <c r="H29" s="3" t="s">
        <v>76</v>
      </c>
      <c r="I29" s="3" t="s">
        <v>96</v>
      </c>
      <c r="J29" s="5" t="s">
        <v>77</v>
      </c>
      <c r="L29" s="4" t="s">
        <v>4</v>
      </c>
      <c r="M29" s="3" t="s">
        <v>14</v>
      </c>
      <c r="N29" s="3" t="s">
        <v>5</v>
      </c>
      <c r="O29" s="3" t="s">
        <v>15</v>
      </c>
      <c r="P29" s="3" t="s">
        <v>5</v>
      </c>
      <c r="Q29" s="3" t="s">
        <v>16</v>
      </c>
      <c r="R29" s="5" t="s">
        <v>6</v>
      </c>
      <c r="T29" s="4" t="s">
        <v>4</v>
      </c>
      <c r="U29" s="3" t="s">
        <v>14</v>
      </c>
      <c r="V29" s="3" t="s">
        <v>5</v>
      </c>
      <c r="W29" s="3" t="s">
        <v>15</v>
      </c>
      <c r="X29" s="3" t="s">
        <v>5</v>
      </c>
      <c r="Y29" s="3" t="s">
        <v>16</v>
      </c>
      <c r="Z29" s="5" t="s">
        <v>6</v>
      </c>
    </row>
    <row r="30" spans="3:26" ht="14.25">
      <c r="C30" s="3" t="s">
        <v>62</v>
      </c>
      <c r="D30" s="4" t="s">
        <v>75</v>
      </c>
      <c r="E30" s="34" t="s">
        <v>97</v>
      </c>
      <c r="F30" s="3" t="s">
        <v>76</v>
      </c>
      <c r="G30" s="3" t="s">
        <v>95</v>
      </c>
      <c r="H30" s="3" t="s">
        <v>76</v>
      </c>
      <c r="I30" s="34" t="s">
        <v>98</v>
      </c>
      <c r="J30" s="5" t="s">
        <v>77</v>
      </c>
      <c r="L30" s="4" t="s">
        <v>4</v>
      </c>
      <c r="M30" s="34" t="s">
        <v>17</v>
      </c>
      <c r="N30" s="3" t="s">
        <v>5</v>
      </c>
      <c r="O30" s="3" t="s">
        <v>15</v>
      </c>
      <c r="P30" s="3" t="s">
        <v>5</v>
      </c>
      <c r="Q30" s="34" t="s">
        <v>18</v>
      </c>
      <c r="R30" s="5" t="s">
        <v>6</v>
      </c>
      <c r="T30" s="4" t="s">
        <v>4</v>
      </c>
      <c r="U30" s="34" t="s">
        <v>17</v>
      </c>
      <c r="V30" s="3" t="s">
        <v>5</v>
      </c>
      <c r="W30" s="3" t="s">
        <v>15</v>
      </c>
      <c r="X30" s="3" t="s">
        <v>5</v>
      </c>
      <c r="Y30" s="34" t="s">
        <v>18</v>
      </c>
      <c r="Z30" s="5" t="s">
        <v>6</v>
      </c>
    </row>
    <row r="31" spans="3:26" ht="12.75">
      <c r="C31" s="3" t="s">
        <v>62</v>
      </c>
      <c r="D31" s="4" t="s">
        <v>75</v>
      </c>
      <c r="E31" s="31">
        <f>+E20*SIN(RADIANS(E22-E24))</f>
        <v>16.606968464319042</v>
      </c>
      <c r="F31" s="3" t="s">
        <v>76</v>
      </c>
      <c r="G31" s="31">
        <f>+G27</f>
        <v>70</v>
      </c>
      <c r="H31" s="3" t="s">
        <v>76</v>
      </c>
      <c r="I31" s="31">
        <f>-E20*COS(RADIANS(E22-E24))</f>
        <v>-17.375229449567357</v>
      </c>
      <c r="J31" s="5" t="s">
        <v>77</v>
      </c>
      <c r="L31" s="4" t="s">
        <v>4</v>
      </c>
      <c r="M31" s="31">
        <v>-9.984443417155022</v>
      </c>
      <c r="N31" s="3" t="s">
        <v>5</v>
      </c>
      <c r="O31" s="31">
        <v>70</v>
      </c>
      <c r="P31" s="3" t="s">
        <v>5</v>
      </c>
      <c r="Q31" s="31">
        <v>-21.863231454879436</v>
      </c>
      <c r="R31" s="5" t="s">
        <v>6</v>
      </c>
      <c r="T31" s="4" t="s">
        <v>4</v>
      </c>
      <c r="U31" s="31">
        <v>16.606968464319042</v>
      </c>
      <c r="V31" s="3" t="s">
        <v>5</v>
      </c>
      <c r="W31" s="31">
        <v>70</v>
      </c>
      <c r="X31" s="3" t="s">
        <v>5</v>
      </c>
      <c r="Y31" s="31">
        <v>-17.375229449567357</v>
      </c>
      <c r="Z31" s="5" t="s">
        <v>6</v>
      </c>
    </row>
    <row r="32" spans="5:25" ht="12.75">
      <c r="E32" s="31"/>
      <c r="G32" s="31"/>
      <c r="H32" s="31"/>
      <c r="I32" s="31"/>
      <c r="M32" s="31"/>
      <c r="O32" s="31"/>
      <c r="P32" s="31"/>
      <c r="Q32" s="31"/>
      <c r="U32" s="31"/>
      <c r="W32" s="31"/>
      <c r="X32" s="31"/>
      <c r="Y32" s="31"/>
    </row>
    <row r="33" spans="2:25" ht="14.25">
      <c r="B33" s="6" t="s">
        <v>99</v>
      </c>
      <c r="C33" s="3" t="s">
        <v>62</v>
      </c>
      <c r="E33" s="3" t="s">
        <v>100</v>
      </c>
      <c r="G33" s="31"/>
      <c r="H33" s="31"/>
      <c r="I33" s="31"/>
      <c r="M33" s="3" t="s">
        <v>19</v>
      </c>
      <c r="O33" s="31"/>
      <c r="P33" s="31"/>
      <c r="Q33" s="31"/>
      <c r="U33" s="3" t="s">
        <v>19</v>
      </c>
      <c r="W33" s="31"/>
      <c r="X33" s="31"/>
      <c r="Y33" s="31"/>
    </row>
    <row r="34" spans="3:25" ht="12.75">
      <c r="C34" s="3" t="s">
        <v>62</v>
      </c>
      <c r="E34" s="35">
        <v>40</v>
      </c>
      <c r="F34" s="5" t="s">
        <v>68</v>
      </c>
      <c r="G34" s="31"/>
      <c r="H34" s="31"/>
      <c r="I34" s="31"/>
      <c r="M34" s="35">
        <v>40</v>
      </c>
      <c r="N34" s="5" t="s">
        <v>1</v>
      </c>
      <c r="O34" s="31"/>
      <c r="P34" s="31"/>
      <c r="Q34" s="31"/>
      <c r="U34" s="35">
        <v>40</v>
      </c>
      <c r="V34" s="5" t="s">
        <v>1</v>
      </c>
      <c r="W34" s="31"/>
      <c r="X34" s="31"/>
      <c r="Y34" s="31"/>
    </row>
    <row r="35" spans="3:21" ht="12.75">
      <c r="C35" s="2"/>
      <c r="D35" s="2"/>
      <c r="E35" s="2"/>
      <c r="L35" s="2"/>
      <c r="M35" s="2"/>
      <c r="T35" s="2"/>
      <c r="U35" s="2"/>
    </row>
    <row r="36" spans="2:26" ht="14.25">
      <c r="B36" s="6" t="s">
        <v>101</v>
      </c>
      <c r="C36" s="3" t="s">
        <v>62</v>
      </c>
      <c r="D36" s="4" t="s">
        <v>75</v>
      </c>
      <c r="E36" s="3" t="s">
        <v>102</v>
      </c>
      <c r="F36" s="3" t="s">
        <v>76</v>
      </c>
      <c r="G36" s="3" t="s">
        <v>103</v>
      </c>
      <c r="H36" s="3" t="s">
        <v>76</v>
      </c>
      <c r="I36" s="3" t="s">
        <v>104</v>
      </c>
      <c r="J36" s="5" t="s">
        <v>77</v>
      </c>
      <c r="L36" s="4" t="s">
        <v>4</v>
      </c>
      <c r="M36" s="3" t="s">
        <v>20</v>
      </c>
      <c r="N36" s="3" t="s">
        <v>5</v>
      </c>
      <c r="O36" s="3" t="s">
        <v>21</v>
      </c>
      <c r="P36" s="3" t="s">
        <v>5</v>
      </c>
      <c r="Q36" s="3" t="s">
        <v>22</v>
      </c>
      <c r="R36" s="5" t="s">
        <v>6</v>
      </c>
      <c r="T36" s="4" t="s">
        <v>4</v>
      </c>
      <c r="U36" s="3" t="s">
        <v>20</v>
      </c>
      <c r="V36" s="3" t="s">
        <v>5</v>
      </c>
      <c r="W36" s="3" t="s">
        <v>21</v>
      </c>
      <c r="X36" s="3" t="s">
        <v>5</v>
      </c>
      <c r="Y36" s="3" t="s">
        <v>22</v>
      </c>
      <c r="Z36" s="5" t="s">
        <v>6</v>
      </c>
    </row>
    <row r="37" spans="3:26" ht="12.75">
      <c r="C37" s="3" t="s">
        <v>62</v>
      </c>
      <c r="D37" s="4" t="s">
        <v>75</v>
      </c>
      <c r="E37" s="30">
        <v>44</v>
      </c>
      <c r="F37" s="3" t="s">
        <v>76</v>
      </c>
      <c r="G37" s="31">
        <f>+G27</f>
        <v>70</v>
      </c>
      <c r="H37" s="3" t="s">
        <v>76</v>
      </c>
      <c r="I37" s="30">
        <v>-24</v>
      </c>
      <c r="J37" s="5" t="s">
        <v>77</v>
      </c>
      <c r="L37" s="4" t="s">
        <v>4</v>
      </c>
      <c r="M37" s="30">
        <v>44</v>
      </c>
      <c r="N37" s="3" t="s">
        <v>5</v>
      </c>
      <c r="O37" s="31">
        <v>70</v>
      </c>
      <c r="P37" s="3" t="s">
        <v>5</v>
      </c>
      <c r="Q37" s="30">
        <v>-24</v>
      </c>
      <c r="R37" s="5" t="s">
        <v>6</v>
      </c>
      <c r="T37" s="4" t="s">
        <v>4</v>
      </c>
      <c r="U37" s="30">
        <v>44</v>
      </c>
      <c r="V37" s="3" t="s">
        <v>5</v>
      </c>
      <c r="W37" s="31">
        <v>70</v>
      </c>
      <c r="X37" s="3" t="s">
        <v>5</v>
      </c>
      <c r="Y37" s="30">
        <v>-24</v>
      </c>
      <c r="Z37" s="5" t="s">
        <v>6</v>
      </c>
    </row>
    <row r="38" spans="3:21" ht="12.75">
      <c r="C38" s="2"/>
      <c r="D38" s="2"/>
      <c r="E38" s="2"/>
      <c r="L38" s="2"/>
      <c r="M38" s="2"/>
      <c r="T38" s="2"/>
      <c r="U38" s="2"/>
    </row>
    <row r="39" spans="1:26" ht="14.25">
      <c r="A39" s="36"/>
      <c r="B39" s="6" t="s">
        <v>105</v>
      </c>
      <c r="C39" s="3" t="s">
        <v>62</v>
      </c>
      <c r="D39" s="4" t="s">
        <v>75</v>
      </c>
      <c r="E39" s="3" t="s">
        <v>106</v>
      </c>
      <c r="F39" s="3" t="s">
        <v>76</v>
      </c>
      <c r="G39" s="3" t="s">
        <v>107</v>
      </c>
      <c r="H39" s="3" t="s">
        <v>76</v>
      </c>
      <c r="I39" s="3" t="s">
        <v>108</v>
      </c>
      <c r="J39" s="5" t="s">
        <v>77</v>
      </c>
      <c r="L39" s="4" t="s">
        <v>4</v>
      </c>
      <c r="M39" s="3" t="s">
        <v>23</v>
      </c>
      <c r="N39" s="3" t="s">
        <v>5</v>
      </c>
      <c r="O39" s="3" t="s">
        <v>24</v>
      </c>
      <c r="P39" s="3" t="s">
        <v>5</v>
      </c>
      <c r="Q39" s="3" t="s">
        <v>25</v>
      </c>
      <c r="R39" s="5" t="s">
        <v>6</v>
      </c>
      <c r="T39" s="4" t="s">
        <v>4</v>
      </c>
      <c r="U39" s="3" t="s">
        <v>23</v>
      </c>
      <c r="V39" s="3" t="s">
        <v>5</v>
      </c>
      <c r="W39" s="3" t="s">
        <v>24</v>
      </c>
      <c r="X39" s="3" t="s">
        <v>5</v>
      </c>
      <c r="Y39" s="3" t="s">
        <v>25</v>
      </c>
      <c r="Z39" s="5" t="s">
        <v>6</v>
      </c>
    </row>
    <row r="40" spans="3:26" ht="12.75">
      <c r="C40" s="3" t="s">
        <v>62</v>
      </c>
      <c r="D40" s="4" t="s">
        <v>75</v>
      </c>
      <c r="E40" s="31">
        <f>+'CR'!D6</f>
        <v>56.030142864319025</v>
      </c>
      <c r="F40" s="3" t="s">
        <v>76</v>
      </c>
      <c r="G40" s="31">
        <f>+'CR'!F6</f>
        <v>68.61229131972641</v>
      </c>
      <c r="H40" s="3" t="s">
        <v>76</v>
      </c>
      <c r="I40" s="30">
        <f>+$I$37</f>
        <v>-24</v>
      </c>
      <c r="J40" s="5" t="s">
        <v>77</v>
      </c>
      <c r="L40" s="4" t="s">
        <v>4</v>
      </c>
      <c r="M40" s="31">
        <v>29.488774374844997</v>
      </c>
      <c r="N40" s="3" t="s">
        <v>5</v>
      </c>
      <c r="O40" s="31">
        <v>76.10731506718922</v>
      </c>
      <c r="P40" s="3" t="s">
        <v>5</v>
      </c>
      <c r="Q40" s="30">
        <v>-24</v>
      </c>
      <c r="R40" s="5" t="s">
        <v>6</v>
      </c>
      <c r="T40" s="4" t="s">
        <v>4</v>
      </c>
      <c r="U40" s="31">
        <v>56.030142864319025</v>
      </c>
      <c r="V40" s="3" t="s">
        <v>5</v>
      </c>
      <c r="W40" s="31">
        <v>68.61229131972641</v>
      </c>
      <c r="X40" s="3" t="s">
        <v>5</v>
      </c>
      <c r="Y40" s="30">
        <v>-24</v>
      </c>
      <c r="Z40" s="5" t="s">
        <v>6</v>
      </c>
    </row>
    <row r="41" spans="5:25" ht="12.75">
      <c r="E41" s="30"/>
      <c r="G41" s="30"/>
      <c r="H41" s="30"/>
      <c r="I41" s="30"/>
      <c r="M41" s="30"/>
      <c r="O41" s="30"/>
      <c r="P41" s="30"/>
      <c r="Q41" s="30"/>
      <c r="U41" s="30"/>
      <c r="W41" s="30"/>
      <c r="X41" s="30"/>
      <c r="Y41" s="30"/>
    </row>
    <row r="42" spans="2:25" ht="14.25">
      <c r="B42" s="6" t="s">
        <v>109</v>
      </c>
      <c r="C42" s="3" t="s">
        <v>62</v>
      </c>
      <c r="E42" s="3" t="s">
        <v>110</v>
      </c>
      <c r="G42" s="31"/>
      <c r="H42" s="31"/>
      <c r="I42" s="31"/>
      <c r="M42" s="3" t="s">
        <v>26</v>
      </c>
      <c r="O42" s="31"/>
      <c r="P42" s="31"/>
      <c r="Q42" s="31"/>
      <c r="U42" s="3" t="s">
        <v>26</v>
      </c>
      <c r="W42" s="31"/>
      <c r="X42" s="31"/>
      <c r="Y42" s="31"/>
    </row>
    <row r="43" spans="3:25" ht="12.75">
      <c r="C43" s="3" t="s">
        <v>62</v>
      </c>
      <c r="E43" s="35">
        <v>30</v>
      </c>
      <c r="F43" s="5" t="s">
        <v>68</v>
      </c>
      <c r="G43" s="31"/>
      <c r="H43" s="31"/>
      <c r="I43" s="31"/>
      <c r="M43" s="35">
        <v>30</v>
      </c>
      <c r="N43" s="5" t="s">
        <v>1</v>
      </c>
      <c r="O43" s="31"/>
      <c r="P43" s="31"/>
      <c r="Q43" s="31"/>
      <c r="U43" s="35">
        <v>30</v>
      </c>
      <c r="V43" s="5" t="s">
        <v>1</v>
      </c>
      <c r="W43" s="31"/>
      <c r="X43" s="31"/>
      <c r="Y43" s="31"/>
    </row>
    <row r="44" spans="5:25" ht="12.75">
      <c r="E44" s="31"/>
      <c r="G44" s="31"/>
      <c r="H44" s="31"/>
      <c r="I44" s="31"/>
      <c r="M44" s="31"/>
      <c r="O44" s="31"/>
      <c r="P44" s="31"/>
      <c r="Q44" s="31"/>
      <c r="U44" s="31"/>
      <c r="W44" s="31"/>
      <c r="X44" s="31"/>
      <c r="Y44" s="31"/>
    </row>
    <row r="45" spans="2:26" ht="14.25">
      <c r="B45" s="6" t="s">
        <v>111</v>
      </c>
      <c r="C45" s="3" t="s">
        <v>62</v>
      </c>
      <c r="D45" s="4" t="s">
        <v>75</v>
      </c>
      <c r="E45" s="3" t="s">
        <v>112</v>
      </c>
      <c r="F45" s="3" t="s">
        <v>76</v>
      </c>
      <c r="G45" s="3" t="s">
        <v>113</v>
      </c>
      <c r="H45" s="3" t="s">
        <v>76</v>
      </c>
      <c r="I45" s="3" t="s">
        <v>114</v>
      </c>
      <c r="J45" s="5" t="s">
        <v>77</v>
      </c>
      <c r="L45" s="4" t="s">
        <v>4</v>
      </c>
      <c r="M45" s="3" t="s">
        <v>27</v>
      </c>
      <c r="N45" s="3" t="s">
        <v>5</v>
      </c>
      <c r="O45" s="3" t="s">
        <v>28</v>
      </c>
      <c r="P45" s="3" t="s">
        <v>5</v>
      </c>
      <c r="Q45" s="3" t="s">
        <v>29</v>
      </c>
      <c r="R45" s="5" t="s">
        <v>6</v>
      </c>
      <c r="T45" s="4" t="s">
        <v>4</v>
      </c>
      <c r="U45" s="3" t="s">
        <v>27</v>
      </c>
      <c r="V45" s="3" t="s">
        <v>5</v>
      </c>
      <c r="W45" s="3" t="s">
        <v>28</v>
      </c>
      <c r="X45" s="3" t="s">
        <v>5</v>
      </c>
      <c r="Y45" s="3" t="s">
        <v>29</v>
      </c>
      <c r="Z45" s="5" t="s">
        <v>6</v>
      </c>
    </row>
    <row r="46" spans="3:26" ht="12.75">
      <c r="C46" s="3" t="s">
        <v>62</v>
      </c>
      <c r="D46" s="4" t="s">
        <v>75</v>
      </c>
      <c r="E46" s="30">
        <v>50</v>
      </c>
      <c r="F46" s="3" t="s">
        <v>76</v>
      </c>
      <c r="G46" s="30">
        <v>98</v>
      </c>
      <c r="H46" s="3" t="s">
        <v>76</v>
      </c>
      <c r="I46" s="30">
        <f>+$I$37</f>
        <v>-24</v>
      </c>
      <c r="J46" s="5" t="s">
        <v>77</v>
      </c>
      <c r="L46" s="4" t="s">
        <v>4</v>
      </c>
      <c r="M46" s="30">
        <v>50</v>
      </c>
      <c r="N46" s="3" t="s">
        <v>5</v>
      </c>
      <c r="O46" s="30">
        <v>98</v>
      </c>
      <c r="P46" s="3" t="s">
        <v>5</v>
      </c>
      <c r="Q46" s="30">
        <v>-24</v>
      </c>
      <c r="R46" s="5" t="s">
        <v>6</v>
      </c>
      <c r="T46" s="4" t="s">
        <v>4</v>
      </c>
      <c r="U46" s="30">
        <v>50</v>
      </c>
      <c r="V46" s="3" t="s">
        <v>5</v>
      </c>
      <c r="W46" s="30">
        <v>98</v>
      </c>
      <c r="X46" s="3" t="s">
        <v>5</v>
      </c>
      <c r="Y46" s="30">
        <v>-24</v>
      </c>
      <c r="Z46" s="5" t="s">
        <v>6</v>
      </c>
    </row>
    <row r="47" spans="5:25" ht="12.75">
      <c r="E47" s="31"/>
      <c r="G47" s="31"/>
      <c r="H47" s="31"/>
      <c r="I47" s="31"/>
      <c r="M47" s="31"/>
      <c r="O47" s="31"/>
      <c r="P47" s="31"/>
      <c r="Q47" s="31"/>
      <c r="U47" s="31"/>
      <c r="W47" s="31"/>
      <c r="X47" s="31"/>
      <c r="Y47" s="31"/>
    </row>
    <row r="48" spans="2:25" ht="14.25">
      <c r="B48" s="2" t="s">
        <v>115</v>
      </c>
      <c r="C48" s="3" t="s">
        <v>62</v>
      </c>
      <c r="E48" s="31">
        <f>ASIN((E46-E37)/E43)+ASIN((E40-E46)/E43)</f>
        <v>0.4037414301815889</v>
      </c>
      <c r="F48" s="5" t="s">
        <v>116</v>
      </c>
      <c r="H48" s="31"/>
      <c r="I48" s="31"/>
      <c r="M48" s="31">
        <v>-0.5514731941935234</v>
      </c>
      <c r="N48" s="5" t="s">
        <v>30</v>
      </c>
      <c r="P48" s="31"/>
      <c r="Q48" s="31"/>
      <c r="U48" s="31">
        <v>0.4037414301815889</v>
      </c>
      <c r="V48" s="5" t="s">
        <v>30</v>
      </c>
      <c r="X48" s="31"/>
      <c r="Y48" s="31"/>
    </row>
    <row r="49" spans="3:25" ht="12.75">
      <c r="C49" s="3" t="s">
        <v>62</v>
      </c>
      <c r="E49" s="10">
        <f>DEGREES(E48)</f>
        <v>23.13267996398084</v>
      </c>
      <c r="F49" s="5" t="s">
        <v>65</v>
      </c>
      <c r="H49" s="31"/>
      <c r="I49" s="31"/>
      <c r="M49" s="10">
        <v>-31.597086541887347</v>
      </c>
      <c r="N49" s="5" t="s">
        <v>0</v>
      </c>
      <c r="P49" s="31"/>
      <c r="Q49" s="31"/>
      <c r="U49" s="10">
        <v>23.13267996398084</v>
      </c>
      <c r="V49" s="5" t="s">
        <v>0</v>
      </c>
      <c r="X49" s="31"/>
      <c r="Y49" s="31"/>
    </row>
    <row r="50" spans="5:25" ht="12.75">
      <c r="E50" s="31"/>
      <c r="G50" s="31"/>
      <c r="H50" s="31"/>
      <c r="I50" s="31"/>
      <c r="M50" s="31"/>
      <c r="O50" s="31"/>
      <c r="P50" s="31"/>
      <c r="Q50" s="31"/>
      <c r="U50" s="31"/>
      <c r="W50" s="31"/>
      <c r="X50" s="31"/>
      <c r="Y50" s="31"/>
    </row>
    <row r="51" spans="2:25" ht="14.25">
      <c r="B51" s="6" t="s">
        <v>117</v>
      </c>
      <c r="C51" s="3" t="s">
        <v>62</v>
      </c>
      <c r="E51" s="3" t="s">
        <v>118</v>
      </c>
      <c r="G51" s="31"/>
      <c r="H51" s="31"/>
      <c r="I51" s="31"/>
      <c r="M51" s="3" t="s">
        <v>31</v>
      </c>
      <c r="O51" s="31"/>
      <c r="P51" s="31"/>
      <c r="Q51" s="31"/>
      <c r="U51" s="3" t="s">
        <v>31</v>
      </c>
      <c r="W51" s="31"/>
      <c r="X51" s="31"/>
      <c r="Y51" s="31"/>
    </row>
    <row r="52" spans="3:25" ht="12.75">
      <c r="C52" s="3" t="s">
        <v>62</v>
      </c>
      <c r="E52" s="35">
        <v>18</v>
      </c>
      <c r="F52" s="5" t="s">
        <v>68</v>
      </c>
      <c r="G52" s="31"/>
      <c r="H52" s="31"/>
      <c r="I52" s="31"/>
      <c r="M52" s="35">
        <v>18</v>
      </c>
      <c r="N52" s="5" t="s">
        <v>1</v>
      </c>
      <c r="O52" s="31"/>
      <c r="P52" s="31"/>
      <c r="Q52" s="31"/>
      <c r="U52" s="35">
        <v>18</v>
      </c>
      <c r="V52" s="5" t="s">
        <v>1</v>
      </c>
      <c r="W52" s="31"/>
      <c r="X52" s="31"/>
      <c r="Y52" s="31"/>
    </row>
    <row r="53" spans="5:25" ht="12.75">
      <c r="E53" s="31"/>
      <c r="G53" s="31"/>
      <c r="H53" s="31"/>
      <c r="I53" s="31"/>
      <c r="M53" s="31"/>
      <c r="O53" s="31"/>
      <c r="P53" s="31"/>
      <c r="Q53" s="31"/>
      <c r="U53" s="31"/>
      <c r="W53" s="31"/>
      <c r="X53" s="31"/>
      <c r="Y53" s="31"/>
    </row>
    <row r="54" spans="2:24" ht="14.25">
      <c r="B54" s="6" t="s">
        <v>119</v>
      </c>
      <c r="C54" s="3" t="s">
        <v>62</v>
      </c>
      <c r="D54" s="4" t="s">
        <v>75</v>
      </c>
      <c r="E54" s="3" t="s">
        <v>120</v>
      </c>
      <c r="F54" s="3" t="s">
        <v>76</v>
      </c>
      <c r="G54" s="3" t="s">
        <v>121</v>
      </c>
      <c r="H54" s="5" t="s">
        <v>77</v>
      </c>
      <c r="L54" s="4" t="s">
        <v>4</v>
      </c>
      <c r="M54" s="3" t="s">
        <v>32</v>
      </c>
      <c r="N54" s="3" t="s">
        <v>5</v>
      </c>
      <c r="O54" s="3" t="s">
        <v>33</v>
      </c>
      <c r="P54" s="5" t="s">
        <v>6</v>
      </c>
      <c r="T54" s="4" t="s">
        <v>4</v>
      </c>
      <c r="U54" s="3" t="s">
        <v>32</v>
      </c>
      <c r="V54" s="3" t="s">
        <v>5</v>
      </c>
      <c r="W54" s="3" t="s">
        <v>33</v>
      </c>
      <c r="X54" s="5" t="s">
        <v>6</v>
      </c>
    </row>
    <row r="55" spans="3:25" ht="12.75">
      <c r="C55" s="3" t="s">
        <v>62</v>
      </c>
      <c r="D55" s="4" t="s">
        <v>75</v>
      </c>
      <c r="E55" s="31">
        <f>+E46+E52*COS(E48)</f>
        <v>66.55275624607646</v>
      </c>
      <c r="F55" s="3" t="s">
        <v>76</v>
      </c>
      <c r="G55" s="31">
        <f>+G46+E52*SIN(E48)</f>
        <v>105.07151049337953</v>
      </c>
      <c r="H55" s="5" t="s">
        <v>77</v>
      </c>
      <c r="I55" s="31"/>
      <c r="L55" s="4" t="s">
        <v>4</v>
      </c>
      <c r="M55" s="31">
        <v>65.33156439374082</v>
      </c>
      <c r="N55" s="3" t="s">
        <v>5</v>
      </c>
      <c r="O55" s="31">
        <v>88.5690332817585</v>
      </c>
      <c r="P55" s="5" t="s">
        <v>6</v>
      </c>
      <c r="Q55" s="31"/>
      <c r="T55" s="4" t="s">
        <v>4</v>
      </c>
      <c r="U55" s="31">
        <v>66.55275624607646</v>
      </c>
      <c r="V55" s="3" t="s">
        <v>5</v>
      </c>
      <c r="W55" s="31">
        <v>105.07151049337953</v>
      </c>
      <c r="X55" s="5" t="s">
        <v>6</v>
      </c>
      <c r="Y55" s="31"/>
    </row>
    <row r="56" spans="5:25" ht="12.75">
      <c r="E56" s="30"/>
      <c r="G56" s="30"/>
      <c r="H56" s="5"/>
      <c r="I56" s="31"/>
      <c r="M56" s="30"/>
      <c r="O56" s="30"/>
      <c r="P56" s="5"/>
      <c r="Q56" s="31"/>
      <c r="U56" s="30"/>
      <c r="W56" s="30"/>
      <c r="X56" s="5"/>
      <c r="Y56" s="31"/>
    </row>
    <row r="57" spans="2:25" ht="14.25">
      <c r="B57" s="6" t="s">
        <v>122</v>
      </c>
      <c r="C57" s="3" t="s">
        <v>62</v>
      </c>
      <c r="D57" s="4" t="s">
        <v>75</v>
      </c>
      <c r="E57" s="31">
        <v>0</v>
      </c>
      <c r="F57" s="3" t="s">
        <v>76</v>
      </c>
      <c r="G57" s="31">
        <f>+E55*TAN(-E48)+G55</f>
        <v>76.63947735273481</v>
      </c>
      <c r="H57" s="5" t="s">
        <v>77</v>
      </c>
      <c r="I57" s="31"/>
      <c r="L57" s="4" t="s">
        <v>4</v>
      </c>
      <c r="M57" s="31">
        <v>0</v>
      </c>
      <c r="N57" s="3" t="s">
        <v>5</v>
      </c>
      <c r="O57" s="31">
        <v>128.75670060809887</v>
      </c>
      <c r="P57" s="5" t="s">
        <v>6</v>
      </c>
      <c r="Q57" s="31"/>
      <c r="T57" s="4" t="s">
        <v>4</v>
      </c>
      <c r="U57" s="31">
        <v>0</v>
      </c>
      <c r="V57" s="3" t="s">
        <v>5</v>
      </c>
      <c r="W57" s="31">
        <v>76.63947735273481</v>
      </c>
      <c r="X57" s="5" t="s">
        <v>6</v>
      </c>
      <c r="Y57" s="31"/>
    </row>
    <row r="58" spans="5:25" ht="12.75">
      <c r="E58" s="30"/>
      <c r="G58" s="30"/>
      <c r="H58" s="5"/>
      <c r="I58" s="31"/>
      <c r="M58" s="30"/>
      <c r="O58" s="30"/>
      <c r="P58" s="5"/>
      <c r="Q58" s="31"/>
      <c r="U58" s="30"/>
      <c r="W58" s="30"/>
      <c r="X58" s="5"/>
      <c r="Y58" s="31"/>
    </row>
    <row r="59" spans="2:25" ht="14.25">
      <c r="B59" s="6" t="s">
        <v>123</v>
      </c>
      <c r="C59" s="3" t="s">
        <v>62</v>
      </c>
      <c r="D59" s="4" t="s">
        <v>75</v>
      </c>
      <c r="E59" s="31">
        <f>+G57/TAN(-E48)</f>
        <v>-179.39513610765295</v>
      </c>
      <c r="F59" s="3" t="s">
        <v>76</v>
      </c>
      <c r="G59" s="31">
        <v>0</v>
      </c>
      <c r="H59" s="5" t="s">
        <v>77</v>
      </c>
      <c r="I59" s="31"/>
      <c r="L59" s="4" t="s">
        <v>4</v>
      </c>
      <c r="M59" s="31">
        <v>209.31487783542448</v>
      </c>
      <c r="N59" s="3" t="s">
        <v>5</v>
      </c>
      <c r="O59" s="31">
        <v>0</v>
      </c>
      <c r="P59" s="5" t="s">
        <v>6</v>
      </c>
      <c r="Q59" s="31"/>
      <c r="T59" s="4" t="s">
        <v>4</v>
      </c>
      <c r="U59" s="31">
        <v>-179.39513610765295</v>
      </c>
      <c r="V59" s="3" t="s">
        <v>5</v>
      </c>
      <c r="W59" s="31">
        <v>0</v>
      </c>
      <c r="X59" s="5" t="s">
        <v>6</v>
      </c>
      <c r="Y59" s="31"/>
    </row>
    <row r="60" spans="2:25" ht="12.75">
      <c r="B60" s="6"/>
      <c r="E60" s="31"/>
      <c r="G60" s="31"/>
      <c r="H60" s="5"/>
      <c r="I60" s="31"/>
      <c r="M60" s="31"/>
      <c r="O60" s="31"/>
      <c r="P60" s="5"/>
      <c r="Q60" s="31"/>
      <c r="U60" s="31"/>
      <c r="W60" s="31"/>
      <c r="X60" s="5"/>
      <c r="Y60" s="31"/>
    </row>
    <row r="61" spans="2:25" ht="14.25">
      <c r="B61" s="6" t="s">
        <v>124</v>
      </c>
      <c r="C61" s="3" t="s">
        <v>62</v>
      </c>
      <c r="E61" s="10">
        <f>SQRT((E55-E59)^2+(G55-G59)^2)</f>
        <v>267.45165557648363</v>
      </c>
      <c r="F61" s="5" t="s">
        <v>68</v>
      </c>
      <c r="G61" s="31"/>
      <c r="H61" s="5"/>
      <c r="I61" s="31"/>
      <c r="M61" s="10">
        <v>169.0433914890238</v>
      </c>
      <c r="N61" s="5" t="s">
        <v>1</v>
      </c>
      <c r="O61" s="31"/>
      <c r="P61" s="5"/>
      <c r="Q61" s="31"/>
      <c r="U61" s="10">
        <v>267.45165557648363</v>
      </c>
      <c r="V61" s="5" t="s">
        <v>1</v>
      </c>
      <c r="W61" s="31"/>
      <c r="X61" s="5"/>
      <c r="Y61" s="31"/>
    </row>
    <row r="62" spans="2:25" ht="12.75">
      <c r="B62" s="6"/>
      <c r="E62" s="31"/>
      <c r="G62" s="31"/>
      <c r="H62" s="5"/>
      <c r="I62" s="31"/>
      <c r="M62" s="31"/>
      <c r="O62" s="31"/>
      <c r="P62" s="5"/>
      <c r="Q62" s="31"/>
      <c r="U62" s="31"/>
      <c r="W62" s="31"/>
      <c r="X62" s="5"/>
      <c r="Y62" s="31"/>
    </row>
    <row r="63" spans="2:25" ht="14.25">
      <c r="B63" s="6" t="s">
        <v>125</v>
      </c>
      <c r="C63" s="3" t="s">
        <v>62</v>
      </c>
      <c r="E63" s="10">
        <f>SQRT((E57-E59)^2+(G57-G59)^2)</f>
        <v>195.0800460015931</v>
      </c>
      <c r="F63" s="5" t="s">
        <v>68</v>
      </c>
      <c r="G63" s="31"/>
      <c r="H63" s="5"/>
      <c r="I63" s="31"/>
      <c r="M63" s="10">
        <v>245.74581590485377</v>
      </c>
      <c r="N63" s="5" t="s">
        <v>1</v>
      </c>
      <c r="O63" s="31"/>
      <c r="P63" s="5"/>
      <c r="Q63" s="31"/>
      <c r="U63" s="10">
        <v>195.0800460015931</v>
      </c>
      <c r="V63" s="5" t="s">
        <v>1</v>
      </c>
      <c r="W63" s="31"/>
      <c r="X63" s="5"/>
      <c r="Y63" s="31"/>
    </row>
    <row r="64" spans="5:25" ht="12.75">
      <c r="E64" s="30"/>
      <c r="G64" s="30"/>
      <c r="H64" s="31"/>
      <c r="I64" s="31"/>
      <c r="M64" s="30"/>
      <c r="O64" s="30"/>
      <c r="P64" s="31"/>
      <c r="Q64" s="31"/>
      <c r="U64" s="30"/>
      <c r="W64" s="30"/>
      <c r="X64" s="31"/>
      <c r="Y64" s="31"/>
    </row>
    <row r="65" spans="5:25" ht="12.75">
      <c r="E65" s="30"/>
      <c r="G65" s="30"/>
      <c r="I65" s="30"/>
      <c r="M65" s="30"/>
      <c r="O65" s="30"/>
      <c r="Q65" s="30"/>
      <c r="U65" s="30"/>
      <c r="W65" s="30"/>
      <c r="Y65" s="30"/>
    </row>
    <row r="66" spans="1:25" ht="14.25">
      <c r="A66" s="32" t="s">
        <v>126</v>
      </c>
      <c r="B66" s="6" t="s">
        <v>127</v>
      </c>
      <c r="C66" s="3" t="s">
        <v>62</v>
      </c>
      <c r="E66" s="3" t="s">
        <v>128</v>
      </c>
      <c r="G66" s="31"/>
      <c r="H66" s="31"/>
      <c r="I66" s="31"/>
      <c r="M66" s="3" t="s">
        <v>34</v>
      </c>
      <c r="O66" s="31"/>
      <c r="P66" s="31"/>
      <c r="Q66" s="31"/>
      <c r="U66" s="3" t="s">
        <v>34</v>
      </c>
      <c r="W66" s="31"/>
      <c r="X66" s="31"/>
      <c r="Y66" s="31"/>
    </row>
    <row r="67" spans="3:25" ht="12.75">
      <c r="C67" s="3" t="s">
        <v>62</v>
      </c>
      <c r="E67" s="10">
        <f>SQRT(E74^2+I74^2)</f>
        <v>23.54230235129946</v>
      </c>
      <c r="F67" s="5" t="s">
        <v>68</v>
      </c>
      <c r="G67" s="31"/>
      <c r="H67" s="31"/>
      <c r="I67" s="31"/>
      <c r="M67" s="10">
        <v>23.54230235129946</v>
      </c>
      <c r="N67" s="5" t="s">
        <v>1</v>
      </c>
      <c r="O67" s="31"/>
      <c r="P67" s="31"/>
      <c r="Q67" s="31"/>
      <c r="U67" s="10">
        <v>23.54230235129946</v>
      </c>
      <c r="V67" s="5" t="s">
        <v>1</v>
      </c>
      <c r="W67" s="31"/>
      <c r="X67" s="31"/>
      <c r="Y67" s="31"/>
    </row>
    <row r="68" spans="5:25" ht="12.75">
      <c r="E68" s="31"/>
      <c r="G68" s="31"/>
      <c r="H68" s="31"/>
      <c r="I68" s="31"/>
      <c r="M68" s="31"/>
      <c r="O68" s="31"/>
      <c r="P68" s="31"/>
      <c r="Q68" s="31"/>
      <c r="U68" s="31"/>
      <c r="W68" s="31"/>
      <c r="X68" s="31"/>
      <c r="Y68" s="31"/>
    </row>
    <row r="69" spans="2:25" ht="14.25">
      <c r="B69" s="6" t="s">
        <v>129</v>
      </c>
      <c r="C69" s="3" t="s">
        <v>62</v>
      </c>
      <c r="E69" s="10">
        <f>DEGREES(ATAN2(ABS(I74),E74))</f>
        <v>-9.782407031807287</v>
      </c>
      <c r="F69" s="5" t="s">
        <v>65</v>
      </c>
      <c r="G69" s="31"/>
      <c r="H69" s="31"/>
      <c r="I69" s="31"/>
      <c r="M69" s="10">
        <v>-9.782407031807287</v>
      </c>
      <c r="N69" s="5" t="s">
        <v>0</v>
      </c>
      <c r="O69" s="31"/>
      <c r="P69" s="31"/>
      <c r="Q69" s="31"/>
      <c r="U69" s="10">
        <v>-9.782407031807287</v>
      </c>
      <c r="V69" s="5" t="s">
        <v>0</v>
      </c>
      <c r="W69" s="31"/>
      <c r="X69" s="31"/>
      <c r="Y69" s="31"/>
    </row>
    <row r="70" spans="5:25" ht="12.75">
      <c r="E70" s="31"/>
      <c r="G70" s="31"/>
      <c r="H70" s="31"/>
      <c r="I70" s="31"/>
      <c r="M70" s="31"/>
      <c r="O70" s="31"/>
      <c r="P70" s="31"/>
      <c r="Q70" s="31"/>
      <c r="U70" s="31"/>
      <c r="W70" s="31"/>
      <c r="X70" s="31"/>
      <c r="Y70" s="31"/>
    </row>
    <row r="71" spans="2:26" ht="12.75">
      <c r="B71" s="2" t="s">
        <v>64</v>
      </c>
      <c r="C71" s="3" t="s">
        <v>62</v>
      </c>
      <c r="E71" s="10">
        <f>+E24</f>
        <v>-34.125</v>
      </c>
      <c r="F71" s="5" t="s">
        <v>65</v>
      </c>
      <c r="G71" s="11"/>
      <c r="H71" s="11"/>
      <c r="I71" s="11"/>
      <c r="J71" s="3"/>
      <c r="M71" s="10">
        <v>34.125</v>
      </c>
      <c r="N71" s="5" t="s">
        <v>0</v>
      </c>
      <c r="O71" s="11"/>
      <c r="P71" s="11"/>
      <c r="Q71" s="11"/>
      <c r="R71" s="3"/>
      <c r="U71" s="10">
        <v>-34.125</v>
      </c>
      <c r="V71" s="5" t="s">
        <v>0</v>
      </c>
      <c r="W71" s="11"/>
      <c r="X71" s="11"/>
      <c r="Y71" s="11"/>
      <c r="Z71" s="3"/>
    </row>
    <row r="72" spans="5:25" ht="12.75">
      <c r="E72" s="31"/>
      <c r="G72" s="31"/>
      <c r="H72" s="31"/>
      <c r="I72" s="31"/>
      <c r="M72" s="31"/>
      <c r="O72" s="31"/>
      <c r="P72" s="31"/>
      <c r="Q72" s="31"/>
      <c r="U72" s="31"/>
      <c r="W72" s="31"/>
      <c r="X72" s="31"/>
      <c r="Y72" s="31"/>
    </row>
    <row r="73" spans="2:26" ht="14.25">
      <c r="B73" s="6" t="s">
        <v>130</v>
      </c>
      <c r="C73" s="3" t="s">
        <v>62</v>
      </c>
      <c r="D73" s="4" t="s">
        <v>75</v>
      </c>
      <c r="E73" s="3" t="s">
        <v>131</v>
      </c>
      <c r="F73" s="3" t="s">
        <v>76</v>
      </c>
      <c r="G73" s="3" t="s">
        <v>132</v>
      </c>
      <c r="H73" s="3" t="s">
        <v>76</v>
      </c>
      <c r="I73" s="3" t="s">
        <v>133</v>
      </c>
      <c r="J73" s="5" t="s">
        <v>77</v>
      </c>
      <c r="L73" s="4" t="s">
        <v>4</v>
      </c>
      <c r="M73" s="3" t="s">
        <v>35</v>
      </c>
      <c r="N73" s="3" t="s">
        <v>5</v>
      </c>
      <c r="O73" s="3" t="s">
        <v>36</v>
      </c>
      <c r="P73" s="3" t="s">
        <v>5</v>
      </c>
      <c r="Q73" s="3" t="s">
        <v>37</v>
      </c>
      <c r="R73" s="5" t="s">
        <v>6</v>
      </c>
      <c r="T73" s="4" t="s">
        <v>4</v>
      </c>
      <c r="U73" s="3" t="s">
        <v>35</v>
      </c>
      <c r="V73" s="3" t="s">
        <v>5</v>
      </c>
      <c r="W73" s="3" t="s">
        <v>36</v>
      </c>
      <c r="X73" s="3" t="s">
        <v>5</v>
      </c>
      <c r="Y73" s="3" t="s">
        <v>37</v>
      </c>
      <c r="Z73" s="5" t="s">
        <v>6</v>
      </c>
    </row>
    <row r="74" spans="3:26" ht="12.75">
      <c r="C74" s="3" t="s">
        <v>62</v>
      </c>
      <c r="D74" s="4" t="s">
        <v>75</v>
      </c>
      <c r="E74" s="30">
        <v>-4</v>
      </c>
      <c r="F74" s="3" t="s">
        <v>76</v>
      </c>
      <c r="G74" s="31">
        <f>+G27</f>
        <v>70</v>
      </c>
      <c r="H74" s="3" t="s">
        <v>76</v>
      </c>
      <c r="I74" s="33">
        <v>-23.2</v>
      </c>
      <c r="J74" s="5" t="s">
        <v>77</v>
      </c>
      <c r="L74" s="4" t="s">
        <v>4</v>
      </c>
      <c r="M74" s="30">
        <v>-4</v>
      </c>
      <c r="N74" s="3" t="s">
        <v>5</v>
      </c>
      <c r="O74" s="31">
        <v>70</v>
      </c>
      <c r="P74" s="3" t="s">
        <v>5</v>
      </c>
      <c r="Q74" s="31">
        <v>-23.2</v>
      </c>
      <c r="R74" s="5" t="s">
        <v>6</v>
      </c>
      <c r="T74" s="4" t="s">
        <v>4</v>
      </c>
      <c r="U74" s="30">
        <v>-4</v>
      </c>
      <c r="V74" s="3" t="s">
        <v>5</v>
      </c>
      <c r="W74" s="31">
        <v>70</v>
      </c>
      <c r="X74" s="3" t="s">
        <v>5</v>
      </c>
      <c r="Y74" s="31">
        <v>-23.2</v>
      </c>
      <c r="Z74" s="5" t="s">
        <v>6</v>
      </c>
    </row>
    <row r="75" spans="5:25" ht="12.75">
      <c r="E75" s="31"/>
      <c r="G75" s="31"/>
      <c r="H75" s="31"/>
      <c r="I75" s="31"/>
      <c r="M75" s="31"/>
      <c r="O75" s="31"/>
      <c r="P75" s="31"/>
      <c r="Q75" s="31"/>
      <c r="U75" s="31"/>
      <c r="W75" s="31"/>
      <c r="X75" s="31"/>
      <c r="Y75" s="31"/>
    </row>
    <row r="76" spans="2:26" ht="14.25">
      <c r="B76" s="6" t="s">
        <v>134</v>
      </c>
      <c r="C76" s="3" t="s">
        <v>62</v>
      </c>
      <c r="D76" s="4" t="s">
        <v>75</v>
      </c>
      <c r="E76" s="3" t="s">
        <v>135</v>
      </c>
      <c r="F76" s="3" t="s">
        <v>76</v>
      </c>
      <c r="G76" s="3" t="s">
        <v>136</v>
      </c>
      <c r="H76" s="3" t="s">
        <v>76</v>
      </c>
      <c r="I76" s="3" t="s">
        <v>137</v>
      </c>
      <c r="J76" s="5" t="s">
        <v>77</v>
      </c>
      <c r="L76" s="4" t="s">
        <v>4</v>
      </c>
      <c r="M76" s="3" t="s">
        <v>38</v>
      </c>
      <c r="N76" s="3" t="s">
        <v>5</v>
      </c>
      <c r="O76" s="3" t="s">
        <v>39</v>
      </c>
      <c r="P76" s="3" t="s">
        <v>5</v>
      </c>
      <c r="Q76" s="3" t="s">
        <v>40</v>
      </c>
      <c r="R76" s="5" t="s">
        <v>6</v>
      </c>
      <c r="T76" s="4" t="s">
        <v>4</v>
      </c>
      <c r="U76" s="3" t="s">
        <v>38</v>
      </c>
      <c r="V76" s="3" t="s">
        <v>5</v>
      </c>
      <c r="W76" s="3" t="s">
        <v>39</v>
      </c>
      <c r="X76" s="3" t="s">
        <v>5</v>
      </c>
      <c r="Y76" s="3" t="s">
        <v>40</v>
      </c>
      <c r="Z76" s="5" t="s">
        <v>6</v>
      </c>
    </row>
    <row r="77" spans="3:26" ht="14.25">
      <c r="C77" s="3" t="s">
        <v>62</v>
      </c>
      <c r="D77" s="4" t="s">
        <v>75</v>
      </c>
      <c r="E77" s="34" t="s">
        <v>138</v>
      </c>
      <c r="F77" s="3" t="s">
        <v>76</v>
      </c>
      <c r="G77" s="3" t="s">
        <v>136</v>
      </c>
      <c r="H77" s="3" t="s">
        <v>76</v>
      </c>
      <c r="I77" s="34" t="s">
        <v>139</v>
      </c>
      <c r="J77" s="5" t="s">
        <v>77</v>
      </c>
      <c r="L77" s="4" t="s">
        <v>4</v>
      </c>
      <c r="M77" s="34" t="s">
        <v>41</v>
      </c>
      <c r="N77" s="3" t="s">
        <v>5</v>
      </c>
      <c r="O77" s="3" t="s">
        <v>39</v>
      </c>
      <c r="P77" s="3" t="s">
        <v>5</v>
      </c>
      <c r="Q77" s="34" t="s">
        <v>42</v>
      </c>
      <c r="R77" s="5" t="s">
        <v>6</v>
      </c>
      <c r="T77" s="4" t="s">
        <v>4</v>
      </c>
      <c r="U77" s="34" t="s">
        <v>41</v>
      </c>
      <c r="V77" s="3" t="s">
        <v>5</v>
      </c>
      <c r="W77" s="3" t="s">
        <v>39</v>
      </c>
      <c r="X77" s="3" t="s">
        <v>5</v>
      </c>
      <c r="Y77" s="34" t="s">
        <v>42</v>
      </c>
      <c r="Z77" s="5" t="s">
        <v>6</v>
      </c>
    </row>
    <row r="78" spans="3:26" ht="12.75">
      <c r="C78" s="3" t="s">
        <v>62</v>
      </c>
      <c r="D78" s="4" t="s">
        <v>75</v>
      </c>
      <c r="E78" s="31">
        <f>+E67*SIN(RADIANS(E69-E71))</f>
        <v>9.70394329182302</v>
      </c>
      <c r="F78" s="3" t="s">
        <v>76</v>
      </c>
      <c r="G78" s="31">
        <f>+G74</f>
        <v>70</v>
      </c>
      <c r="H78" s="3" t="s">
        <v>76</v>
      </c>
      <c r="I78" s="31">
        <f>-E67*COS(RADIANS(E69-E71))</f>
        <v>-21.449323639431686</v>
      </c>
      <c r="J78" s="5" t="s">
        <v>77</v>
      </c>
      <c r="L78" s="4" t="s">
        <v>4</v>
      </c>
      <c r="M78" s="31">
        <v>-16.326468338987038</v>
      </c>
      <c r="N78" s="3" t="s">
        <v>5</v>
      </c>
      <c r="O78" s="31">
        <v>70</v>
      </c>
      <c r="P78" s="3" t="s">
        <v>5</v>
      </c>
      <c r="Q78" s="31">
        <v>-16.96132163411961</v>
      </c>
      <c r="R78" s="5" t="s">
        <v>6</v>
      </c>
      <c r="T78" s="4" t="s">
        <v>4</v>
      </c>
      <c r="U78" s="31">
        <v>9.70394329182302</v>
      </c>
      <c r="V78" s="3" t="s">
        <v>5</v>
      </c>
      <c r="W78" s="31">
        <v>70</v>
      </c>
      <c r="X78" s="3" t="s">
        <v>5</v>
      </c>
      <c r="Y78" s="31">
        <v>-21.449323639431686</v>
      </c>
      <c r="Z78" s="5" t="s">
        <v>6</v>
      </c>
    </row>
    <row r="79" spans="5:25" ht="12.75">
      <c r="E79" s="31"/>
      <c r="G79" s="31"/>
      <c r="H79" s="31"/>
      <c r="I79" s="31"/>
      <c r="M79" s="31"/>
      <c r="O79" s="31"/>
      <c r="P79" s="31"/>
      <c r="Q79" s="31"/>
      <c r="U79" s="31"/>
      <c r="W79" s="31"/>
      <c r="X79" s="31"/>
      <c r="Y79" s="31"/>
    </row>
    <row r="80" spans="2:25" ht="14.25">
      <c r="B80" s="6" t="s">
        <v>140</v>
      </c>
      <c r="C80" s="3" t="s">
        <v>62</v>
      </c>
      <c r="E80" s="3" t="s">
        <v>141</v>
      </c>
      <c r="G80" s="31"/>
      <c r="H80" s="31"/>
      <c r="I80" s="31"/>
      <c r="M80" s="3" t="s">
        <v>43</v>
      </c>
      <c r="O80" s="31"/>
      <c r="P80" s="31"/>
      <c r="Q80" s="31"/>
      <c r="U80" s="3" t="s">
        <v>43</v>
      </c>
      <c r="W80" s="31"/>
      <c r="X80" s="31"/>
      <c r="Y80" s="31"/>
    </row>
    <row r="81" spans="3:25" ht="12.75">
      <c r="C81" s="3" t="s">
        <v>62</v>
      </c>
      <c r="E81" s="10">
        <f>+E34</f>
        <v>40</v>
      </c>
      <c r="F81" s="5" t="s">
        <v>68</v>
      </c>
      <c r="G81" s="31"/>
      <c r="H81" s="31"/>
      <c r="I81" s="31"/>
      <c r="M81" s="10">
        <v>40</v>
      </c>
      <c r="N81" s="5" t="s">
        <v>1</v>
      </c>
      <c r="O81" s="31"/>
      <c r="P81" s="31"/>
      <c r="Q81" s="31"/>
      <c r="U81" s="10">
        <v>40</v>
      </c>
      <c r="V81" s="5" t="s">
        <v>1</v>
      </c>
      <c r="W81" s="31"/>
      <c r="X81" s="31"/>
      <c r="Y81" s="31"/>
    </row>
    <row r="82" spans="5:25" ht="12.75">
      <c r="E82" s="31"/>
      <c r="G82" s="31"/>
      <c r="H82" s="31"/>
      <c r="I82" s="31"/>
      <c r="M82" s="31"/>
      <c r="O82" s="31"/>
      <c r="P82" s="31"/>
      <c r="Q82" s="31"/>
      <c r="U82" s="31"/>
      <c r="W82" s="31"/>
      <c r="X82" s="31"/>
      <c r="Y82" s="31"/>
    </row>
    <row r="83" spans="2:26" ht="14.25">
      <c r="B83" s="6" t="s">
        <v>142</v>
      </c>
      <c r="C83" s="3" t="s">
        <v>62</v>
      </c>
      <c r="D83" s="4" t="s">
        <v>75</v>
      </c>
      <c r="E83" s="3" t="s">
        <v>143</v>
      </c>
      <c r="F83" s="3" t="s">
        <v>76</v>
      </c>
      <c r="G83" s="3" t="s">
        <v>144</v>
      </c>
      <c r="H83" s="3" t="s">
        <v>76</v>
      </c>
      <c r="I83" s="3" t="s">
        <v>145</v>
      </c>
      <c r="J83" s="5" t="s">
        <v>77</v>
      </c>
      <c r="L83" s="4" t="s">
        <v>4</v>
      </c>
      <c r="M83" s="3" t="s">
        <v>44</v>
      </c>
      <c r="N83" s="3" t="s">
        <v>5</v>
      </c>
      <c r="O83" s="3" t="s">
        <v>45</v>
      </c>
      <c r="P83" s="3" t="s">
        <v>5</v>
      </c>
      <c r="Q83" s="3" t="s">
        <v>46</v>
      </c>
      <c r="R83" s="5" t="s">
        <v>6</v>
      </c>
      <c r="T83" s="4" t="s">
        <v>4</v>
      </c>
      <c r="U83" s="3" t="s">
        <v>44</v>
      </c>
      <c r="V83" s="3" t="s">
        <v>5</v>
      </c>
      <c r="W83" s="3" t="s">
        <v>45</v>
      </c>
      <c r="X83" s="3" t="s">
        <v>5</v>
      </c>
      <c r="Y83" s="3" t="s">
        <v>46</v>
      </c>
      <c r="Z83" s="5" t="s">
        <v>6</v>
      </c>
    </row>
    <row r="84" spans="3:26" ht="12.75">
      <c r="C84" s="3" t="s">
        <v>62</v>
      </c>
      <c r="D84" s="4" t="s">
        <v>75</v>
      </c>
      <c r="E84" s="31">
        <f>-E37</f>
        <v>-44</v>
      </c>
      <c r="F84" s="3" t="s">
        <v>76</v>
      </c>
      <c r="G84" s="31">
        <f>+G37</f>
        <v>70</v>
      </c>
      <c r="H84" s="3" t="s">
        <v>76</v>
      </c>
      <c r="I84" s="31">
        <f>+$I$37</f>
        <v>-24</v>
      </c>
      <c r="J84" s="5" t="s">
        <v>77</v>
      </c>
      <c r="L84" s="4" t="s">
        <v>4</v>
      </c>
      <c r="M84" s="31">
        <v>-44</v>
      </c>
      <c r="N84" s="3" t="s">
        <v>5</v>
      </c>
      <c r="O84" s="31">
        <v>70</v>
      </c>
      <c r="P84" s="3" t="s">
        <v>5</v>
      </c>
      <c r="Q84" s="31">
        <v>-24</v>
      </c>
      <c r="R84" s="5" t="s">
        <v>6</v>
      </c>
      <c r="T84" s="4" t="s">
        <v>4</v>
      </c>
      <c r="U84" s="31">
        <v>-44</v>
      </c>
      <c r="V84" s="3" t="s">
        <v>5</v>
      </c>
      <c r="W84" s="31">
        <v>70</v>
      </c>
      <c r="X84" s="3" t="s">
        <v>5</v>
      </c>
      <c r="Y84" s="31">
        <v>-24</v>
      </c>
      <c r="Z84" s="5" t="s">
        <v>6</v>
      </c>
    </row>
    <row r="85" spans="3:21" ht="12.75">
      <c r="C85" s="2"/>
      <c r="D85" s="2"/>
      <c r="E85" s="2"/>
      <c r="L85" s="2"/>
      <c r="M85" s="2"/>
      <c r="T85" s="2"/>
      <c r="U85" s="2"/>
    </row>
    <row r="86" spans="2:26" ht="14.25">
      <c r="B86" s="6" t="s">
        <v>146</v>
      </c>
      <c r="C86" s="3" t="s">
        <v>62</v>
      </c>
      <c r="D86" s="4" t="s">
        <v>75</v>
      </c>
      <c r="E86" s="3" t="s">
        <v>147</v>
      </c>
      <c r="F86" s="3" t="s">
        <v>76</v>
      </c>
      <c r="G86" s="3" t="s">
        <v>148</v>
      </c>
      <c r="H86" s="3" t="s">
        <v>76</v>
      </c>
      <c r="I86" s="3" t="s">
        <v>149</v>
      </c>
      <c r="J86" s="5" t="s">
        <v>77</v>
      </c>
      <c r="L86" s="4" t="s">
        <v>4</v>
      </c>
      <c r="M86" s="3" t="s">
        <v>47</v>
      </c>
      <c r="N86" s="3" t="s">
        <v>5</v>
      </c>
      <c r="O86" s="3" t="s">
        <v>48</v>
      </c>
      <c r="P86" s="3" t="s">
        <v>5</v>
      </c>
      <c r="Q86" s="3" t="s">
        <v>49</v>
      </c>
      <c r="R86" s="5" t="s">
        <v>6</v>
      </c>
      <c r="T86" s="4" t="s">
        <v>4</v>
      </c>
      <c r="U86" s="3" t="s">
        <v>47</v>
      </c>
      <c r="V86" s="3" t="s">
        <v>5</v>
      </c>
      <c r="W86" s="3" t="s">
        <v>48</v>
      </c>
      <c r="X86" s="3" t="s">
        <v>5</v>
      </c>
      <c r="Y86" s="3" t="s">
        <v>49</v>
      </c>
      <c r="Z86" s="5" t="s">
        <v>6</v>
      </c>
    </row>
    <row r="87" spans="3:26" ht="12.75">
      <c r="C87" s="3" t="s">
        <v>62</v>
      </c>
      <c r="D87" s="4" t="s">
        <v>75</v>
      </c>
      <c r="E87" s="31">
        <f>+'CL'!D6</f>
        <v>-29.786283140176952</v>
      </c>
      <c r="F87" s="3" t="s">
        <v>76</v>
      </c>
      <c r="G87" s="31">
        <f>+'CL'!F6</f>
        <v>75.83232941910937</v>
      </c>
      <c r="H87" s="3" t="s">
        <v>76</v>
      </c>
      <c r="I87" s="30">
        <f>+$I$37</f>
        <v>-24</v>
      </c>
      <c r="J87" s="5" t="s">
        <v>77</v>
      </c>
      <c r="L87" s="4" t="s">
        <v>4</v>
      </c>
      <c r="M87" s="31">
        <v>-55.675298034987065</v>
      </c>
      <c r="N87" s="3" t="s">
        <v>5</v>
      </c>
      <c r="O87" s="31">
        <v>68.5417104482052</v>
      </c>
      <c r="P87" s="3" t="s">
        <v>5</v>
      </c>
      <c r="Q87" s="30">
        <v>-24</v>
      </c>
      <c r="R87" s="5" t="s">
        <v>6</v>
      </c>
      <c r="T87" s="4" t="s">
        <v>4</v>
      </c>
      <c r="U87" s="31">
        <v>-29.786283140176952</v>
      </c>
      <c r="V87" s="3" t="s">
        <v>5</v>
      </c>
      <c r="W87" s="31">
        <v>75.83232941910937</v>
      </c>
      <c r="X87" s="3" t="s">
        <v>5</v>
      </c>
      <c r="Y87" s="30">
        <v>-24</v>
      </c>
      <c r="Z87" s="5" t="s">
        <v>6</v>
      </c>
    </row>
    <row r="88" spans="5:25" ht="12.75">
      <c r="E88" s="30"/>
      <c r="G88" s="30"/>
      <c r="H88" s="30"/>
      <c r="I88" s="30"/>
      <c r="M88" s="30"/>
      <c r="O88" s="30"/>
      <c r="P88" s="30"/>
      <c r="Q88" s="30"/>
      <c r="U88" s="30"/>
      <c r="W88" s="30"/>
      <c r="X88" s="30"/>
      <c r="Y88" s="30"/>
    </row>
    <row r="89" spans="2:25" ht="14.25">
      <c r="B89" s="6" t="s">
        <v>150</v>
      </c>
      <c r="C89" s="3" t="s">
        <v>62</v>
      </c>
      <c r="E89" s="3" t="s">
        <v>151</v>
      </c>
      <c r="G89" s="31"/>
      <c r="H89" s="31"/>
      <c r="I89" s="31"/>
      <c r="M89" s="3" t="s">
        <v>50</v>
      </c>
      <c r="O89" s="31"/>
      <c r="P89" s="31"/>
      <c r="Q89" s="31"/>
      <c r="U89" s="3" t="s">
        <v>50</v>
      </c>
      <c r="W89" s="31"/>
      <c r="X89" s="31"/>
      <c r="Y89" s="31"/>
    </row>
    <row r="90" spans="3:25" ht="12.75">
      <c r="C90" s="3" t="s">
        <v>62</v>
      </c>
      <c r="E90" s="10">
        <f>+E43</f>
        <v>30</v>
      </c>
      <c r="F90" s="5" t="s">
        <v>68</v>
      </c>
      <c r="G90" s="31"/>
      <c r="H90" s="31"/>
      <c r="I90" s="31"/>
      <c r="M90" s="10">
        <v>30</v>
      </c>
      <c r="N90" s="5" t="s">
        <v>1</v>
      </c>
      <c r="O90" s="31"/>
      <c r="P90" s="31"/>
      <c r="Q90" s="31"/>
      <c r="U90" s="10">
        <v>30</v>
      </c>
      <c r="V90" s="5" t="s">
        <v>1</v>
      </c>
      <c r="W90" s="31"/>
      <c r="X90" s="31"/>
      <c r="Y90" s="31"/>
    </row>
    <row r="91" spans="5:25" ht="12.75">
      <c r="E91" s="31"/>
      <c r="G91" s="31"/>
      <c r="H91" s="31"/>
      <c r="I91" s="31"/>
      <c r="M91" s="31"/>
      <c r="O91" s="31"/>
      <c r="P91" s="31"/>
      <c r="Q91" s="31"/>
      <c r="U91" s="31"/>
      <c r="W91" s="31"/>
      <c r="X91" s="31"/>
      <c r="Y91" s="31"/>
    </row>
    <row r="92" spans="2:26" ht="14.25">
      <c r="B92" s="6" t="s">
        <v>152</v>
      </c>
      <c r="C92" s="3" t="s">
        <v>62</v>
      </c>
      <c r="D92" s="4" t="s">
        <v>75</v>
      </c>
      <c r="E92" s="3" t="s">
        <v>153</v>
      </c>
      <c r="F92" s="3" t="s">
        <v>76</v>
      </c>
      <c r="G92" s="3" t="s">
        <v>154</v>
      </c>
      <c r="H92" s="3" t="s">
        <v>76</v>
      </c>
      <c r="I92" s="3" t="s">
        <v>155</v>
      </c>
      <c r="J92" s="5" t="s">
        <v>77</v>
      </c>
      <c r="L92" s="4" t="s">
        <v>4</v>
      </c>
      <c r="M92" s="3" t="s">
        <v>51</v>
      </c>
      <c r="N92" s="3" t="s">
        <v>5</v>
      </c>
      <c r="O92" s="3" t="s">
        <v>52</v>
      </c>
      <c r="P92" s="3" t="s">
        <v>5</v>
      </c>
      <c r="Q92" s="3" t="s">
        <v>53</v>
      </c>
      <c r="R92" s="5" t="s">
        <v>6</v>
      </c>
      <c r="T92" s="4" t="s">
        <v>4</v>
      </c>
      <c r="U92" s="3" t="s">
        <v>51</v>
      </c>
      <c r="V92" s="3" t="s">
        <v>5</v>
      </c>
      <c r="W92" s="3" t="s">
        <v>52</v>
      </c>
      <c r="X92" s="3" t="s">
        <v>5</v>
      </c>
      <c r="Y92" s="3" t="s">
        <v>53</v>
      </c>
      <c r="Z92" s="5" t="s">
        <v>6</v>
      </c>
    </row>
    <row r="93" spans="3:26" ht="12.75">
      <c r="C93" s="3" t="s">
        <v>62</v>
      </c>
      <c r="D93" s="4" t="s">
        <v>75</v>
      </c>
      <c r="E93" s="31">
        <f>-E46</f>
        <v>-50</v>
      </c>
      <c r="F93" s="3" t="s">
        <v>76</v>
      </c>
      <c r="G93" s="31">
        <f>+G46</f>
        <v>98</v>
      </c>
      <c r="H93" s="3" t="s">
        <v>76</v>
      </c>
      <c r="I93" s="31">
        <f>+$I$37</f>
        <v>-24</v>
      </c>
      <c r="J93" s="5" t="s">
        <v>77</v>
      </c>
      <c r="L93" s="4" t="s">
        <v>4</v>
      </c>
      <c r="M93" s="31">
        <v>-50</v>
      </c>
      <c r="N93" s="3" t="s">
        <v>5</v>
      </c>
      <c r="O93" s="31">
        <v>98</v>
      </c>
      <c r="P93" s="3" t="s">
        <v>5</v>
      </c>
      <c r="Q93" s="31">
        <v>-24</v>
      </c>
      <c r="R93" s="5" t="s">
        <v>6</v>
      </c>
      <c r="T93" s="4" t="s">
        <v>4</v>
      </c>
      <c r="U93" s="31">
        <v>-50</v>
      </c>
      <c r="V93" s="3" t="s">
        <v>5</v>
      </c>
      <c r="W93" s="31">
        <v>98</v>
      </c>
      <c r="X93" s="3" t="s">
        <v>5</v>
      </c>
      <c r="Y93" s="31">
        <v>-24</v>
      </c>
      <c r="Z93" s="5" t="s">
        <v>6</v>
      </c>
    </row>
    <row r="94" spans="5:25" ht="12.75">
      <c r="E94" s="31"/>
      <c r="G94" s="31"/>
      <c r="H94" s="31"/>
      <c r="I94" s="31"/>
      <c r="M94" s="31"/>
      <c r="O94" s="31"/>
      <c r="P94" s="31"/>
      <c r="Q94" s="31"/>
      <c r="U94" s="31"/>
      <c r="W94" s="31"/>
      <c r="X94" s="31"/>
      <c r="Y94" s="31"/>
    </row>
    <row r="95" spans="2:25" ht="14.25">
      <c r="B95" s="2" t="s">
        <v>156</v>
      </c>
      <c r="C95" s="3" t="s">
        <v>62</v>
      </c>
      <c r="E95" s="31">
        <f>ASIN((E93-E84)/E90)+ASIN((E87-E93)/E90)</f>
        <v>0.5379687982203536</v>
      </c>
      <c r="F95" s="5" t="s">
        <v>116</v>
      </c>
      <c r="H95" s="31"/>
      <c r="I95" s="31"/>
      <c r="M95" s="31">
        <v>-0.3916814591912017</v>
      </c>
      <c r="N95" s="5" t="s">
        <v>30</v>
      </c>
      <c r="P95" s="31"/>
      <c r="Q95" s="31"/>
      <c r="U95" s="31">
        <v>0.5379687982203536</v>
      </c>
      <c r="V95" s="5" t="s">
        <v>30</v>
      </c>
      <c r="X95" s="31"/>
      <c r="Y95" s="31"/>
    </row>
    <row r="96" spans="3:25" ht="12.75">
      <c r="C96" s="3" t="s">
        <v>62</v>
      </c>
      <c r="E96" s="10">
        <f>DEGREES(E95)</f>
        <v>30.823341647751253</v>
      </c>
      <c r="F96" s="5" t="s">
        <v>65</v>
      </c>
      <c r="H96" s="31"/>
      <c r="I96" s="31"/>
      <c r="M96" s="10">
        <v>-22.441694525181443</v>
      </c>
      <c r="N96" s="5" t="s">
        <v>0</v>
      </c>
      <c r="P96" s="31"/>
      <c r="Q96" s="31"/>
      <c r="U96" s="10">
        <v>30.823341647751253</v>
      </c>
      <c r="V96" s="5" t="s">
        <v>0</v>
      </c>
      <c r="X96" s="31"/>
      <c r="Y96" s="31"/>
    </row>
    <row r="97" spans="5:25" ht="12.75">
      <c r="E97" s="31"/>
      <c r="G97" s="31"/>
      <c r="H97" s="31"/>
      <c r="I97" s="31"/>
      <c r="M97" s="31"/>
      <c r="O97" s="31"/>
      <c r="P97" s="31"/>
      <c r="Q97" s="31"/>
      <c r="U97" s="31"/>
      <c r="W97" s="31"/>
      <c r="X97" s="31"/>
      <c r="Y97" s="31"/>
    </row>
    <row r="98" spans="2:25" ht="14.25">
      <c r="B98" s="6" t="s">
        <v>157</v>
      </c>
      <c r="C98" s="3" t="s">
        <v>62</v>
      </c>
      <c r="E98" s="3" t="s">
        <v>158</v>
      </c>
      <c r="G98" s="31"/>
      <c r="H98" s="31"/>
      <c r="I98" s="31"/>
      <c r="M98" s="3" t="s">
        <v>54</v>
      </c>
      <c r="O98" s="31"/>
      <c r="P98" s="31"/>
      <c r="Q98" s="31"/>
      <c r="U98" s="3" t="s">
        <v>54</v>
      </c>
      <c r="W98" s="31"/>
      <c r="X98" s="31"/>
      <c r="Y98" s="31"/>
    </row>
    <row r="99" spans="3:25" ht="12.75">
      <c r="C99" s="3" t="s">
        <v>62</v>
      </c>
      <c r="E99" s="10">
        <f>+E52</f>
        <v>18</v>
      </c>
      <c r="F99" s="5" t="s">
        <v>68</v>
      </c>
      <c r="G99" s="31"/>
      <c r="H99" s="31"/>
      <c r="I99" s="31"/>
      <c r="M99" s="10">
        <v>18</v>
      </c>
      <c r="N99" s="5" t="s">
        <v>1</v>
      </c>
      <c r="O99" s="31"/>
      <c r="P99" s="31"/>
      <c r="Q99" s="31"/>
      <c r="U99" s="10">
        <v>18</v>
      </c>
      <c r="V99" s="5" t="s">
        <v>1</v>
      </c>
      <c r="W99" s="31"/>
      <c r="X99" s="31"/>
      <c r="Y99" s="31"/>
    </row>
    <row r="100" spans="5:25" ht="12.75">
      <c r="E100" s="31"/>
      <c r="G100" s="31"/>
      <c r="H100" s="31"/>
      <c r="I100" s="31"/>
      <c r="M100" s="31"/>
      <c r="O100" s="31"/>
      <c r="P100" s="31"/>
      <c r="Q100" s="31"/>
      <c r="U100" s="31"/>
      <c r="W100" s="31"/>
      <c r="X100" s="31"/>
      <c r="Y100" s="31"/>
    </row>
    <row r="101" spans="2:24" ht="14.25">
      <c r="B101" s="6" t="s">
        <v>159</v>
      </c>
      <c r="C101" s="3" t="s">
        <v>62</v>
      </c>
      <c r="D101" s="4" t="s">
        <v>75</v>
      </c>
      <c r="E101" s="3" t="s">
        <v>160</v>
      </c>
      <c r="F101" s="3" t="s">
        <v>76</v>
      </c>
      <c r="G101" s="3" t="s">
        <v>161</v>
      </c>
      <c r="H101" s="5" t="s">
        <v>77</v>
      </c>
      <c r="L101" s="4" t="s">
        <v>4</v>
      </c>
      <c r="M101" s="3" t="s">
        <v>55</v>
      </c>
      <c r="N101" s="3" t="s">
        <v>5</v>
      </c>
      <c r="O101" s="3" t="s">
        <v>56</v>
      </c>
      <c r="P101" s="5" t="s">
        <v>6</v>
      </c>
      <c r="T101" s="4" t="s">
        <v>4</v>
      </c>
      <c r="U101" s="3" t="s">
        <v>55</v>
      </c>
      <c r="V101" s="3" t="s">
        <v>5</v>
      </c>
      <c r="W101" s="3" t="s">
        <v>56</v>
      </c>
      <c r="X101" s="5" t="s">
        <v>6</v>
      </c>
    </row>
    <row r="102" spans="3:25" ht="12.75">
      <c r="C102" s="3" t="s">
        <v>62</v>
      </c>
      <c r="D102" s="4" t="s">
        <v>75</v>
      </c>
      <c r="E102" s="31">
        <f>+E93-E99*COS(E95)</f>
        <v>-65.45752205411495</v>
      </c>
      <c r="F102" s="3" t="s">
        <v>76</v>
      </c>
      <c r="G102" s="31">
        <f>+G93-E99*SIN(E95)</f>
        <v>88.77693044878495</v>
      </c>
      <c r="H102" s="5" t="s">
        <v>77</v>
      </c>
      <c r="I102" s="31"/>
      <c r="L102" s="4" t="s">
        <v>4</v>
      </c>
      <c r="M102" s="31">
        <v>-66.6368326643693</v>
      </c>
      <c r="N102" s="3" t="s">
        <v>5</v>
      </c>
      <c r="O102" s="31">
        <v>104.87137532796565</v>
      </c>
      <c r="P102" s="5" t="s">
        <v>6</v>
      </c>
      <c r="Q102" s="31"/>
      <c r="T102" s="4" t="s">
        <v>4</v>
      </c>
      <c r="U102" s="31">
        <v>-65.45752205411495</v>
      </c>
      <c r="V102" s="3" t="s">
        <v>5</v>
      </c>
      <c r="W102" s="31">
        <v>88.77693044878495</v>
      </c>
      <c r="X102" s="5" t="s">
        <v>6</v>
      </c>
      <c r="Y102" s="31"/>
    </row>
    <row r="103" spans="5:25" ht="12.75">
      <c r="E103" s="31"/>
      <c r="G103" s="31"/>
      <c r="H103" s="5"/>
      <c r="I103" s="31"/>
      <c r="M103" s="31"/>
      <c r="O103" s="31"/>
      <c r="P103" s="5"/>
      <c r="Q103" s="31"/>
      <c r="U103" s="31"/>
      <c r="W103" s="31"/>
      <c r="X103" s="5"/>
      <c r="Y103" s="31"/>
    </row>
    <row r="104" spans="2:25" ht="14.25">
      <c r="B104" s="6" t="s">
        <v>162</v>
      </c>
      <c r="C104" s="3" t="s">
        <v>62</v>
      </c>
      <c r="D104" s="4" t="s">
        <v>75</v>
      </c>
      <c r="E104" s="31">
        <v>0</v>
      </c>
      <c r="F104" s="3" t="s">
        <v>76</v>
      </c>
      <c r="G104" s="31">
        <f>+E102*TAN(-E95)+G102</f>
        <v>127.83359661052455</v>
      </c>
      <c r="H104" s="5" t="s">
        <v>77</v>
      </c>
      <c r="I104" s="31"/>
      <c r="L104" s="4" t="s">
        <v>4</v>
      </c>
      <c r="M104" s="31">
        <v>0</v>
      </c>
      <c r="N104" s="3" t="s">
        <v>5</v>
      </c>
      <c r="O104" s="31">
        <v>77.34890773205315</v>
      </c>
      <c r="P104" s="5" t="s">
        <v>6</v>
      </c>
      <c r="Q104" s="31"/>
      <c r="T104" s="4" t="s">
        <v>4</v>
      </c>
      <c r="U104" s="31">
        <v>0</v>
      </c>
      <c r="V104" s="3" t="s">
        <v>5</v>
      </c>
      <c r="W104" s="31">
        <v>127.83359661052455</v>
      </c>
      <c r="X104" s="5" t="s">
        <v>6</v>
      </c>
      <c r="Y104" s="31"/>
    </row>
    <row r="105" spans="5:25" ht="12.75">
      <c r="E105" s="31"/>
      <c r="G105" s="30"/>
      <c r="H105" s="5"/>
      <c r="I105" s="31"/>
      <c r="M105" s="31"/>
      <c r="O105" s="30"/>
      <c r="P105" s="5"/>
      <c r="Q105" s="31"/>
      <c r="U105" s="31"/>
      <c r="W105" s="30"/>
      <c r="X105" s="5"/>
      <c r="Y105" s="31"/>
    </row>
    <row r="106" spans="2:25" ht="14.25">
      <c r="B106" s="6" t="s">
        <v>163</v>
      </c>
      <c r="C106" s="3" t="s">
        <v>62</v>
      </c>
      <c r="D106" s="4" t="s">
        <v>75</v>
      </c>
      <c r="E106" s="31">
        <f>+G104/TAN(-E95)</f>
        <v>-214.24436061025915</v>
      </c>
      <c r="F106" s="3" t="s">
        <v>76</v>
      </c>
      <c r="G106" s="31">
        <v>0</v>
      </c>
      <c r="H106" s="5" t="s">
        <v>77</v>
      </c>
      <c r="I106" s="31"/>
      <c r="L106" s="4" t="s">
        <v>4</v>
      </c>
      <c r="M106" s="31">
        <v>187.2755850597515</v>
      </c>
      <c r="N106" s="3" t="s">
        <v>5</v>
      </c>
      <c r="O106" s="31">
        <v>0</v>
      </c>
      <c r="P106" s="5" t="s">
        <v>6</v>
      </c>
      <c r="Q106" s="31"/>
      <c r="T106" s="4" t="s">
        <v>4</v>
      </c>
      <c r="U106" s="31">
        <v>-214.24436061025915</v>
      </c>
      <c r="V106" s="3" t="s">
        <v>5</v>
      </c>
      <c r="W106" s="31">
        <v>0</v>
      </c>
      <c r="X106" s="5" t="s">
        <v>6</v>
      </c>
      <c r="Y106" s="31"/>
    </row>
    <row r="107" spans="2:25" ht="12.75">
      <c r="B107" s="6"/>
      <c r="E107" s="31"/>
      <c r="G107" s="31"/>
      <c r="H107" s="5"/>
      <c r="I107" s="31"/>
      <c r="M107" s="31"/>
      <c r="O107" s="31"/>
      <c r="P107" s="5"/>
      <c r="Q107" s="31"/>
      <c r="U107" s="31"/>
      <c r="W107" s="31"/>
      <c r="X107" s="5"/>
      <c r="Y107" s="31"/>
    </row>
    <row r="108" spans="2:25" ht="14.25">
      <c r="B108" s="6" t="s">
        <v>164</v>
      </c>
      <c r="C108" s="3" t="s">
        <v>62</v>
      </c>
      <c r="E108" s="10">
        <f>SQRT((E102-E106)^2+(G102-G106)^2)</f>
        <v>173.25953568978684</v>
      </c>
      <c r="F108" s="5" t="s">
        <v>68</v>
      </c>
      <c r="G108" s="31"/>
      <c r="H108" s="5"/>
      <c r="I108" s="31"/>
      <c r="M108" s="10">
        <v>274.71716589555786</v>
      </c>
      <c r="N108" s="5" t="s">
        <v>1</v>
      </c>
      <c r="O108" s="31"/>
      <c r="P108" s="5"/>
      <c r="Q108" s="31"/>
      <c r="U108" s="10">
        <v>173.25953568978684</v>
      </c>
      <c r="V108" s="5" t="s">
        <v>1</v>
      </c>
      <c r="W108" s="31"/>
      <c r="X108" s="5"/>
      <c r="Y108" s="31"/>
    </row>
    <row r="109" spans="2:25" ht="12.75">
      <c r="B109" s="6"/>
      <c r="E109" s="31"/>
      <c r="G109" s="31"/>
      <c r="H109" s="5"/>
      <c r="I109" s="31"/>
      <c r="M109" s="31"/>
      <c r="O109" s="31"/>
      <c r="P109" s="5"/>
      <c r="Q109" s="31"/>
      <c r="U109" s="31"/>
      <c r="W109" s="31"/>
      <c r="X109" s="5"/>
      <c r="Y109" s="31"/>
    </row>
    <row r="110" spans="2:25" ht="14.25">
      <c r="B110" s="6" t="s">
        <v>165</v>
      </c>
      <c r="C110" s="3" t="s">
        <v>62</v>
      </c>
      <c r="E110" s="10">
        <f>SQRT((E104-E106)^2+(G104-G106)^2)</f>
        <v>249.48361564575953</v>
      </c>
      <c r="F110" s="5" t="s">
        <v>68</v>
      </c>
      <c r="G110" s="31"/>
      <c r="H110" s="5"/>
      <c r="I110" s="31"/>
      <c r="M110" s="10">
        <v>202.62033038867025</v>
      </c>
      <c r="N110" s="5" t="s">
        <v>1</v>
      </c>
      <c r="O110" s="31"/>
      <c r="P110" s="5"/>
      <c r="Q110" s="31"/>
      <c r="U110" s="10">
        <v>249.48361564575953</v>
      </c>
      <c r="V110" s="5" t="s">
        <v>1</v>
      </c>
      <c r="W110" s="31"/>
      <c r="X110" s="5"/>
      <c r="Y110" s="31"/>
    </row>
    <row r="111" spans="2:25" ht="12.75">
      <c r="B111" s="6"/>
      <c r="E111" s="31"/>
      <c r="G111" s="31"/>
      <c r="H111" s="5"/>
      <c r="I111" s="31"/>
      <c r="M111" s="31"/>
      <c r="O111" s="31"/>
      <c r="P111" s="5"/>
      <c r="Q111" s="31"/>
      <c r="U111" s="31"/>
      <c r="W111" s="31"/>
      <c r="X111" s="5"/>
      <c r="Y111" s="31"/>
    </row>
    <row r="112" spans="5:25" ht="12.75">
      <c r="E112" s="31"/>
      <c r="G112" s="31"/>
      <c r="H112" s="31"/>
      <c r="I112" s="31"/>
      <c r="M112" s="31"/>
      <c r="O112" s="31"/>
      <c r="P112" s="31"/>
      <c r="Q112" s="31"/>
      <c r="U112" s="31"/>
      <c r="W112" s="31"/>
      <c r="X112" s="31"/>
      <c r="Y112" s="31"/>
    </row>
    <row r="113" spans="2:25" ht="12.75">
      <c r="B113" s="2" t="s">
        <v>166</v>
      </c>
      <c r="C113" s="3" t="s">
        <v>62</v>
      </c>
      <c r="E113" s="31">
        <f>IF(E3&lt;0,E48,E95)</f>
        <v>0.4037414301815889</v>
      </c>
      <c r="F113" s="5" t="s">
        <v>116</v>
      </c>
      <c r="G113" s="31"/>
      <c r="H113" s="31"/>
      <c r="I113" s="31"/>
      <c r="M113" s="31">
        <v>-0.3916814591912017</v>
      </c>
      <c r="N113" s="5" t="s">
        <v>30</v>
      </c>
      <c r="O113" s="31"/>
      <c r="P113" s="31"/>
      <c r="Q113" s="31"/>
      <c r="U113" s="31">
        <v>0.4037414301815889</v>
      </c>
      <c r="V113" s="5" t="s">
        <v>30</v>
      </c>
      <c r="W113" s="31"/>
      <c r="X113" s="31"/>
      <c r="Y113" s="31"/>
    </row>
    <row r="114" spans="3:25" ht="12.75">
      <c r="C114" s="3" t="s">
        <v>62</v>
      </c>
      <c r="E114" s="10">
        <f>DEGREES(E113)</f>
        <v>23.13267996398084</v>
      </c>
      <c r="F114" s="5" t="s">
        <v>65</v>
      </c>
      <c r="G114" s="31"/>
      <c r="H114" s="31"/>
      <c r="I114" s="31"/>
      <c r="M114" s="10">
        <v>-22.441694525181443</v>
      </c>
      <c r="N114" s="5" t="s">
        <v>0</v>
      </c>
      <c r="O114" s="31"/>
      <c r="P114" s="31"/>
      <c r="Q114" s="31"/>
      <c r="U114" s="10">
        <v>23.13267996398084</v>
      </c>
      <c r="V114" s="5" t="s">
        <v>0</v>
      </c>
      <c r="W114" s="31"/>
      <c r="X114" s="31"/>
      <c r="Y114" s="31"/>
    </row>
    <row r="115" spans="5:25" ht="12.75">
      <c r="E115" s="37"/>
      <c r="G115" s="31"/>
      <c r="H115" s="31"/>
      <c r="I115" s="31"/>
      <c r="M115" s="37"/>
      <c r="O115" s="31"/>
      <c r="P115" s="31"/>
      <c r="Q115" s="31"/>
      <c r="U115" s="37"/>
      <c r="W115" s="31"/>
      <c r="X115" s="31"/>
      <c r="Y115" s="31"/>
    </row>
    <row r="116" spans="2:25" ht="12.75">
      <c r="B116" s="2" t="s">
        <v>74</v>
      </c>
      <c r="C116" s="3" t="s">
        <v>62</v>
      </c>
      <c r="D116" s="4" t="s">
        <v>75</v>
      </c>
      <c r="E116" s="31">
        <v>0</v>
      </c>
      <c r="F116" s="3" t="s">
        <v>76</v>
      </c>
      <c r="G116" s="31">
        <f>IF(E3&lt;=0,G57,G104)</f>
        <v>76.63947735273481</v>
      </c>
      <c r="H116" s="5" t="s">
        <v>77</v>
      </c>
      <c r="I116" s="31"/>
      <c r="L116" s="4" t="s">
        <v>4</v>
      </c>
      <c r="M116" s="31">
        <v>0</v>
      </c>
      <c r="N116" s="3" t="s">
        <v>5</v>
      </c>
      <c r="O116" s="31">
        <v>77.34890773205315</v>
      </c>
      <c r="P116" s="5" t="s">
        <v>6</v>
      </c>
      <c r="Q116" s="31"/>
      <c r="T116" s="4" t="s">
        <v>4</v>
      </c>
      <c r="U116" s="31">
        <v>0</v>
      </c>
      <c r="V116" s="3" t="s">
        <v>5</v>
      </c>
      <c r="W116" s="31">
        <v>76.63947735273481</v>
      </c>
      <c r="X116" s="5" t="s">
        <v>6</v>
      </c>
      <c r="Y116" s="31"/>
    </row>
    <row r="117" spans="5:25" ht="12.75">
      <c r="E117" s="37"/>
      <c r="G117" s="31"/>
      <c r="H117" s="31"/>
      <c r="I117" s="31"/>
      <c r="M117" s="37"/>
      <c r="O117" s="31"/>
      <c r="P117" s="31"/>
      <c r="Q117" s="31"/>
      <c r="U117" s="37"/>
      <c r="W117" s="31"/>
      <c r="X117" s="31"/>
      <c r="Y117" s="31"/>
    </row>
    <row r="118" spans="2:25" ht="12.75">
      <c r="B118" s="2" t="s">
        <v>78</v>
      </c>
      <c r="C118" s="3" t="s">
        <v>62</v>
      </c>
      <c r="D118" s="4" t="s">
        <v>75</v>
      </c>
      <c r="E118" s="31">
        <f>IF(E3&lt;=0,E59,E106)</f>
        <v>-179.39513610765295</v>
      </c>
      <c r="F118" s="3" t="s">
        <v>76</v>
      </c>
      <c r="G118" s="31">
        <v>0</v>
      </c>
      <c r="H118" s="5" t="s">
        <v>77</v>
      </c>
      <c r="I118" s="31"/>
      <c r="L118" s="4" t="s">
        <v>4</v>
      </c>
      <c r="M118" s="31">
        <v>187.2755850597515</v>
      </c>
      <c r="N118" s="3" t="s">
        <v>5</v>
      </c>
      <c r="O118" s="31">
        <v>0</v>
      </c>
      <c r="P118" s="5" t="s">
        <v>6</v>
      </c>
      <c r="Q118" s="31"/>
      <c r="T118" s="4" t="s">
        <v>4</v>
      </c>
      <c r="U118" s="31">
        <v>-179.39513610765295</v>
      </c>
      <c r="V118" s="3" t="s">
        <v>5</v>
      </c>
      <c r="W118" s="31">
        <v>0</v>
      </c>
      <c r="X118" s="5" t="s">
        <v>6</v>
      </c>
      <c r="Y118" s="31"/>
    </row>
    <row r="119" spans="5:25" ht="12.75">
      <c r="E119" s="31"/>
      <c r="G119" s="31"/>
      <c r="H119" s="31"/>
      <c r="I119" s="31"/>
      <c r="M119" s="31"/>
      <c r="O119" s="31"/>
      <c r="P119" s="31"/>
      <c r="Q119" s="31"/>
      <c r="U119" s="31"/>
      <c r="W119" s="31"/>
      <c r="X119" s="31"/>
      <c r="Y119" s="31"/>
    </row>
    <row r="120" spans="2:25" ht="12.75">
      <c r="B120" s="2" t="s">
        <v>67</v>
      </c>
      <c r="C120" s="3" t="s">
        <v>62</v>
      </c>
      <c r="E120" s="10">
        <f>IF(E3&lt;=0,E61,E108)</f>
        <v>267.45165557648363</v>
      </c>
      <c r="F120" s="5" t="s">
        <v>68</v>
      </c>
      <c r="G120" s="31"/>
      <c r="H120" s="31"/>
      <c r="I120" s="31"/>
      <c r="M120" s="10">
        <v>274.71716589555786</v>
      </c>
      <c r="N120" s="5" t="s">
        <v>1</v>
      </c>
      <c r="O120" s="31"/>
      <c r="P120" s="31"/>
      <c r="Q120" s="31"/>
      <c r="U120" s="10">
        <v>267.45165557648363</v>
      </c>
      <c r="V120" s="5" t="s">
        <v>1</v>
      </c>
      <c r="W120" s="31"/>
      <c r="X120" s="31"/>
      <c r="Y120" s="31"/>
    </row>
    <row r="121" spans="5:25" ht="12.75">
      <c r="E121" s="31"/>
      <c r="G121" s="31"/>
      <c r="H121" s="31"/>
      <c r="I121" s="31"/>
      <c r="M121" s="31"/>
      <c r="O121" s="31"/>
      <c r="P121" s="31"/>
      <c r="Q121" s="31"/>
      <c r="U121" s="31"/>
      <c r="W121" s="31"/>
      <c r="X121" s="31"/>
      <c r="Y121" s="31"/>
    </row>
    <row r="122" spans="2:25" ht="12.75">
      <c r="B122" s="2" t="s">
        <v>70</v>
      </c>
      <c r="C122" s="3" t="s">
        <v>62</v>
      </c>
      <c r="E122" s="10">
        <f>ABS(E118/COS(E113))</f>
        <v>195.0800460015931</v>
      </c>
      <c r="F122" s="5" t="s">
        <v>68</v>
      </c>
      <c r="G122" s="31"/>
      <c r="H122" s="31"/>
      <c r="I122" s="31"/>
      <c r="M122" s="10">
        <v>202.62033038867025</v>
      </c>
      <c r="N122" s="5" t="s">
        <v>1</v>
      </c>
      <c r="O122" s="31"/>
      <c r="P122" s="31"/>
      <c r="Q122" s="31"/>
      <c r="U122" s="10">
        <v>195.0800460015931</v>
      </c>
      <c r="V122" s="5" t="s">
        <v>1</v>
      </c>
      <c r="W122" s="31"/>
      <c r="X122" s="31"/>
      <c r="Y122" s="31"/>
    </row>
  </sheetData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43"/>
  <sheetViews>
    <sheetView workbookViewId="0" topLeftCell="C1">
      <selection activeCell="A1" sqref="A1"/>
    </sheetView>
  </sheetViews>
  <sheetFormatPr defaultColWidth="9.00390625" defaultRowHeight="13.5"/>
  <cols>
    <col min="1" max="1" width="4.50390625" style="39" bestFit="1" customWidth="1"/>
    <col min="2" max="2" width="2.625" style="39" bestFit="1" customWidth="1"/>
    <col min="3" max="3" width="2.125" style="39" bestFit="1" customWidth="1"/>
    <col min="4" max="4" width="6.375" style="39" bestFit="1" customWidth="1"/>
    <col min="5" max="5" width="2.00390625" style="39" bestFit="1" customWidth="1"/>
    <col min="6" max="6" width="7.00390625" style="39" bestFit="1" customWidth="1"/>
    <col min="7" max="7" width="2.00390625" style="39" customWidth="1"/>
    <col min="8" max="8" width="7.00390625" style="39" customWidth="1"/>
    <col min="9" max="9" width="2.125" style="39" bestFit="1" customWidth="1"/>
    <col min="10" max="10" width="4.125" style="39" bestFit="1" customWidth="1"/>
    <col min="11" max="11" width="8.125" style="39" bestFit="1" customWidth="1"/>
    <col min="12" max="23" width="9.00390625" style="39" bestFit="1" customWidth="1"/>
    <col min="24" max="16384" width="9.00390625" style="39" customWidth="1"/>
  </cols>
  <sheetData>
    <row r="1" ht="12">
      <c r="A1" s="38" t="s">
        <v>167</v>
      </c>
    </row>
    <row r="2" spans="10:11" ht="10.5">
      <c r="J2" s="40"/>
      <c r="K2" s="40"/>
    </row>
    <row r="3" spans="1:11" ht="10.5">
      <c r="A3" s="39" t="s">
        <v>168</v>
      </c>
      <c r="B3" s="41" t="s">
        <v>169</v>
      </c>
      <c r="C3" s="42" t="s">
        <v>170</v>
      </c>
      <c r="D3" s="43">
        <f>+TR!E17</f>
        <v>0</v>
      </c>
      <c r="E3" s="41" t="s">
        <v>171</v>
      </c>
      <c r="F3" s="43">
        <f>+TR!G17</f>
        <v>82</v>
      </c>
      <c r="G3" s="41" t="s">
        <v>171</v>
      </c>
      <c r="H3" s="43">
        <f>+TR!I17</f>
        <v>0</v>
      </c>
      <c r="I3" s="44" t="s">
        <v>172</v>
      </c>
      <c r="J3" s="40"/>
      <c r="K3" s="40"/>
    </row>
    <row r="4" spans="1:11" ht="12">
      <c r="A4" s="39" t="s">
        <v>173</v>
      </c>
      <c r="B4" s="41" t="s">
        <v>169</v>
      </c>
      <c r="C4" s="42" t="s">
        <v>170</v>
      </c>
      <c r="D4" s="43">
        <f>+TR!E27</f>
        <v>4</v>
      </c>
      <c r="E4" s="41" t="s">
        <v>171</v>
      </c>
      <c r="F4" s="43">
        <f>+TR!G27</f>
        <v>70</v>
      </c>
      <c r="G4" s="41" t="s">
        <v>171</v>
      </c>
      <c r="H4" s="43">
        <f>+TR!I27</f>
        <v>-23.7</v>
      </c>
      <c r="I4" s="44" t="s">
        <v>172</v>
      </c>
      <c r="J4" s="40"/>
      <c r="K4" s="40"/>
    </row>
    <row r="5" spans="1:11" ht="12">
      <c r="A5" s="39" t="s">
        <v>174</v>
      </c>
      <c r="B5" s="41" t="s">
        <v>169</v>
      </c>
      <c r="C5" s="42" t="s">
        <v>170</v>
      </c>
      <c r="D5" s="43">
        <f>+TR!E31</f>
        <v>16.606968464319042</v>
      </c>
      <c r="E5" s="41" t="s">
        <v>171</v>
      </c>
      <c r="F5" s="43">
        <f>+TR!G31</f>
        <v>70</v>
      </c>
      <c r="G5" s="41" t="s">
        <v>171</v>
      </c>
      <c r="H5" s="43">
        <f>+TR!I31</f>
        <v>-17.375229449567357</v>
      </c>
      <c r="I5" s="44" t="s">
        <v>172</v>
      </c>
      <c r="J5" s="40"/>
      <c r="K5" s="40"/>
    </row>
    <row r="6" spans="1:11" ht="12">
      <c r="A6" s="45" t="s">
        <v>175</v>
      </c>
      <c r="B6" s="46" t="s">
        <v>169</v>
      </c>
      <c r="C6" s="47" t="s">
        <v>170</v>
      </c>
      <c r="D6" s="48">
        <f>+W43</f>
        <v>56.030142864319025</v>
      </c>
      <c r="E6" s="46" t="s">
        <v>171</v>
      </c>
      <c r="F6" s="48">
        <f>+W41</f>
        <v>68.61229131972641</v>
      </c>
      <c r="G6" s="48"/>
      <c r="H6" s="48">
        <f>+TR!I40</f>
        <v>-24</v>
      </c>
      <c r="I6" s="49" t="s">
        <v>172</v>
      </c>
      <c r="J6" s="40"/>
      <c r="K6" s="40"/>
    </row>
    <row r="7" spans="1:11" ht="12">
      <c r="A7" s="39" t="s">
        <v>176</v>
      </c>
      <c r="B7" s="41" t="s">
        <v>169</v>
      </c>
      <c r="C7" s="42" t="s">
        <v>170</v>
      </c>
      <c r="D7" s="43">
        <f>+TR!E46</f>
        <v>50</v>
      </c>
      <c r="E7" s="41" t="s">
        <v>171</v>
      </c>
      <c r="F7" s="43">
        <f>+TR!G46</f>
        <v>98</v>
      </c>
      <c r="G7" s="41" t="s">
        <v>171</v>
      </c>
      <c r="H7" s="43">
        <f>+TR!I46</f>
        <v>-24</v>
      </c>
      <c r="I7" s="44" t="s">
        <v>172</v>
      </c>
      <c r="J7" s="40"/>
      <c r="K7" s="40"/>
    </row>
    <row r="8" spans="1:11" ht="12.75">
      <c r="A8" s="6"/>
      <c r="B8" s="41"/>
      <c r="C8" s="42"/>
      <c r="D8" s="43"/>
      <c r="E8" s="41"/>
      <c r="F8" s="43"/>
      <c r="G8" s="43"/>
      <c r="H8" s="43"/>
      <c r="I8" s="44"/>
      <c r="J8" s="40"/>
      <c r="K8" s="40"/>
    </row>
    <row r="9" spans="1:11" ht="12">
      <c r="A9" s="40" t="s">
        <v>177</v>
      </c>
      <c r="B9" s="41" t="s">
        <v>169</v>
      </c>
      <c r="D9" s="50">
        <f>+TR!E20</f>
        <v>24.035182545593447</v>
      </c>
      <c r="J9" s="40"/>
      <c r="K9" s="40"/>
    </row>
    <row r="10" spans="1:12" ht="12">
      <c r="A10" s="40" t="s">
        <v>178</v>
      </c>
      <c r="B10" s="41" t="s">
        <v>169</v>
      </c>
      <c r="D10" s="50">
        <f>+TR!E34</f>
        <v>40</v>
      </c>
      <c r="L10" s="51"/>
    </row>
    <row r="11" spans="1:4" ht="12">
      <c r="A11" s="40" t="s">
        <v>179</v>
      </c>
      <c r="B11" s="41" t="s">
        <v>169</v>
      </c>
      <c r="D11" s="50">
        <f>+TR!E43</f>
        <v>30</v>
      </c>
    </row>
    <row r="12" spans="1:4" ht="10.5">
      <c r="A12" s="52" t="s">
        <v>180</v>
      </c>
      <c r="B12" s="41" t="s">
        <v>169</v>
      </c>
      <c r="D12" s="53">
        <f>+TR!E3</f>
        <v>-39</v>
      </c>
    </row>
    <row r="13" spans="12:22" ht="10.5">
      <c r="L13" s="41">
        <v>0</v>
      </c>
      <c r="M13" s="41">
        <v>1</v>
      </c>
      <c r="N13" s="41">
        <v>2</v>
      </c>
      <c r="O13" s="41">
        <v>3</v>
      </c>
      <c r="P13" s="41">
        <v>4</v>
      </c>
      <c r="Q13" s="41">
        <v>5</v>
      </c>
      <c r="R13" s="41">
        <v>6</v>
      </c>
      <c r="S13" s="41">
        <v>7</v>
      </c>
      <c r="T13" s="41">
        <v>8</v>
      </c>
      <c r="U13" s="41">
        <v>9</v>
      </c>
      <c r="V13" s="41">
        <v>10</v>
      </c>
    </row>
    <row r="14" spans="10:23" ht="10.5">
      <c r="J14" s="54" t="s">
        <v>181</v>
      </c>
      <c r="K14" s="55"/>
      <c r="L14" s="55">
        <f aca="true" t="shared" si="0" ref="L14:V14">IF($D$10^2-($D$5-L16)^2-($H$5-$H$6)^2&lt;0,0,IF($D$12&gt;0,1,-1)*SQRT($D$10^2-($D$5-L16)^2-($H$5-$H$6)^2)+$F$5)</f>
        <v>51.80350541576426</v>
      </c>
      <c r="M14" s="55">
        <f t="shared" si="0"/>
        <v>52.799348409024724</v>
      </c>
      <c r="N14" s="55">
        <f t="shared" si="0"/>
        <v>53.87199903416048</v>
      </c>
      <c r="O14" s="55">
        <f t="shared" si="0"/>
        <v>55.03796754601433</v>
      </c>
      <c r="P14" s="55">
        <f t="shared" si="0"/>
        <v>56.32109598125199</v>
      </c>
      <c r="Q14" s="55">
        <f t="shared" si="0"/>
        <v>57.758169452483</v>
      </c>
      <c r="R14" s="55">
        <f t="shared" si="0"/>
        <v>59.41168497096349</v>
      </c>
      <c r="S14" s="55">
        <f t="shared" si="0"/>
        <v>61.40567541024192</v>
      </c>
      <c r="T14" s="55">
        <f t="shared" si="0"/>
        <v>64.07442701891873</v>
      </c>
      <c r="U14" s="55">
        <f t="shared" si="0"/>
        <v>0</v>
      </c>
      <c r="V14" s="55">
        <f t="shared" si="0"/>
        <v>0</v>
      </c>
      <c r="W14" s="56">
        <f>IF($D$12&gt;0,1,-1)*SQRT($D$10^2-($D$5-W16)^2-($H$5-$H$6)^2)+$F$5</f>
        <v>64.07442701891873</v>
      </c>
    </row>
    <row r="15" spans="10:23" ht="10.5">
      <c r="J15" s="57"/>
      <c r="K15" s="58"/>
      <c r="L15" s="58">
        <f aca="true" t="shared" si="1" ref="L15:V15">IF($D$10^2-($D$5-L16)^2-($H$5-$H$6)^2&lt;0,$D$11,ABS(SQRT((L16-$D$7)^2+(L14-$F$7)^2+($H$6-$H$7)^2)-$D$11))</f>
        <v>16.224435740381274</v>
      </c>
      <c r="M15" s="58">
        <f t="shared" si="1"/>
        <v>15.24973171587176</v>
      </c>
      <c r="N15" s="58">
        <f t="shared" si="1"/>
        <v>14.204940377915761</v>
      </c>
      <c r="O15" s="58">
        <f t="shared" si="1"/>
        <v>13.074232269601637</v>
      </c>
      <c r="P15" s="58">
        <f t="shared" si="1"/>
        <v>11.834689692964147</v>
      </c>
      <c r="Q15" s="58">
        <f t="shared" si="1"/>
        <v>10.450860507311624</v>
      </c>
      <c r="R15" s="58">
        <f t="shared" si="1"/>
        <v>8.862349584287813</v>
      </c>
      <c r="S15" s="58">
        <f t="shared" si="1"/>
        <v>6.948961001307225</v>
      </c>
      <c r="T15" s="58">
        <f t="shared" si="1"/>
        <v>4.38579063297135</v>
      </c>
      <c r="U15" s="58">
        <f t="shared" si="1"/>
        <v>30</v>
      </c>
      <c r="V15" s="58">
        <f t="shared" si="1"/>
        <v>30</v>
      </c>
      <c r="W15" s="59">
        <f>MIN(L15:V15)</f>
        <v>4.38579063297135</v>
      </c>
    </row>
    <row r="16" spans="10:23" ht="10.5">
      <c r="J16" s="60" t="s">
        <v>182</v>
      </c>
      <c r="K16" s="61">
        <f>($V16-$L16)/10</f>
        <v>0.5</v>
      </c>
      <c r="L16" s="62">
        <f>+D5+D10-5</f>
        <v>51.60696846431904</v>
      </c>
      <c r="M16" s="61">
        <f aca="true" t="shared" si="2" ref="M16:U16">+L16+$K16</f>
        <v>52.10696846431904</v>
      </c>
      <c r="N16" s="61">
        <f t="shared" si="2"/>
        <v>52.60696846431904</v>
      </c>
      <c r="O16" s="61">
        <f t="shared" si="2"/>
        <v>53.10696846431904</v>
      </c>
      <c r="P16" s="61">
        <f t="shared" si="2"/>
        <v>53.60696846431904</v>
      </c>
      <c r="Q16" s="61">
        <f t="shared" si="2"/>
        <v>54.10696846431904</v>
      </c>
      <c r="R16" s="61">
        <f t="shared" si="2"/>
        <v>54.60696846431904</v>
      </c>
      <c r="S16" s="61">
        <f t="shared" si="2"/>
        <v>55.10696846431904</v>
      </c>
      <c r="T16" s="61">
        <f t="shared" si="2"/>
        <v>55.60696846431904</v>
      </c>
      <c r="U16" s="61">
        <f t="shared" si="2"/>
        <v>56.10696846431904</v>
      </c>
      <c r="V16" s="62">
        <f>+D5+D10</f>
        <v>56.60696846431904</v>
      </c>
      <c r="W16" s="63">
        <f>HLOOKUP(W15,L15:V16,2,FALSE)</f>
        <v>55.60696846431904</v>
      </c>
    </row>
    <row r="17" spans="10:23" ht="10.5">
      <c r="J17" s="54" t="s">
        <v>181</v>
      </c>
      <c r="K17" s="55"/>
      <c r="L17" s="55">
        <f aca="true" t="shared" si="3" ref="L17:V17">IF($D$10^2-($D$5-L19)^2-($H$5-$H$6)^2&lt;0,0,IF($D$12&gt;0,1,-1)*SQRT($D$10^2-($D$5-L19)^2-($H$5-$H$6)^2)+$F$5)</f>
        <v>61.40567541024192</v>
      </c>
      <c r="M17" s="55">
        <f t="shared" si="3"/>
        <v>61.86658650048328</v>
      </c>
      <c r="N17" s="55">
        <f t="shared" si="3"/>
        <v>62.35654429239496</v>
      </c>
      <c r="O17" s="55">
        <f t="shared" si="3"/>
        <v>62.881544047047804</v>
      </c>
      <c r="P17" s="55">
        <f t="shared" si="3"/>
        <v>63.45000647678795</v>
      </c>
      <c r="Q17" s="55">
        <f t="shared" si="3"/>
        <v>64.07442701891873</v>
      </c>
      <c r="R17" s="55">
        <f t="shared" si="3"/>
        <v>64.77482869619381</v>
      </c>
      <c r="S17" s="55">
        <f t="shared" si="3"/>
        <v>65.58724404095128</v>
      </c>
      <c r="T17" s="55">
        <f t="shared" si="3"/>
        <v>66.59083365701827</v>
      </c>
      <c r="U17" s="55">
        <f t="shared" si="3"/>
        <v>68.06288483715603</v>
      </c>
      <c r="V17" s="55">
        <f t="shared" si="3"/>
        <v>0</v>
      </c>
      <c r="W17" s="56">
        <f>IF($D$12&gt;0,1,-1)*SQRT($D$10^2-($D$5-W19)^2-($H$5-$H$6)^2)+$F$5</f>
        <v>68.06288483715603</v>
      </c>
    </row>
    <row r="18" spans="10:23" ht="10.5">
      <c r="J18" s="57"/>
      <c r="K18" s="58"/>
      <c r="L18" s="58">
        <f aca="true" t="shared" si="4" ref="L18:V18">IF($D$10^2-($D$5-L19)^2-($H$5-$H$6)^2&lt;0,$D$11,ABS(SQRT((L19-$D$7)^2+(L17-$F$7)^2+($H$6-$H$7)^2)-$D$11))</f>
        <v>6.948961001307225</v>
      </c>
      <c r="M18" s="58">
        <f t="shared" si="4"/>
        <v>6.5066581833433546</v>
      </c>
      <c r="N18" s="58">
        <f t="shared" si="4"/>
        <v>6.0363684222103515</v>
      </c>
      <c r="O18" s="58">
        <f t="shared" si="4"/>
        <v>5.532256563488673</v>
      </c>
      <c r="P18" s="58">
        <f t="shared" si="4"/>
        <v>4.98612230758075</v>
      </c>
      <c r="Q18" s="58">
        <f t="shared" si="4"/>
        <v>4.38579063297135</v>
      </c>
      <c r="R18" s="58">
        <f t="shared" si="4"/>
        <v>3.711741236845043</v>
      </c>
      <c r="S18" s="58">
        <f t="shared" si="4"/>
        <v>2.9288267572114464</v>
      </c>
      <c r="T18" s="58">
        <f t="shared" si="4"/>
        <v>1.9597873397110739</v>
      </c>
      <c r="U18" s="58">
        <f t="shared" si="4"/>
        <v>0.5338260688814742</v>
      </c>
      <c r="V18" s="58">
        <f t="shared" si="4"/>
        <v>30</v>
      </c>
      <c r="W18" s="59">
        <f>MIN(L18:V18)</f>
        <v>0.5338260688814742</v>
      </c>
    </row>
    <row r="19" spans="10:23" ht="10.5">
      <c r="J19" s="60" t="s">
        <v>182</v>
      </c>
      <c r="K19" s="61">
        <f>($V19-$L19)/10</f>
        <v>0.1</v>
      </c>
      <c r="L19" s="61">
        <f>+$W16-$K16</f>
        <v>55.10696846431904</v>
      </c>
      <c r="M19" s="61">
        <f aca="true" t="shared" si="5" ref="M19:U19">+L19+$K19</f>
        <v>55.20696846431904</v>
      </c>
      <c r="N19" s="61">
        <f t="shared" si="5"/>
        <v>55.30696846431904</v>
      </c>
      <c r="O19" s="61">
        <f t="shared" si="5"/>
        <v>55.40696846431904</v>
      </c>
      <c r="P19" s="61">
        <f t="shared" si="5"/>
        <v>55.506968464319044</v>
      </c>
      <c r="Q19" s="61">
        <f t="shared" si="5"/>
        <v>55.606968464319046</v>
      </c>
      <c r="R19" s="61">
        <f t="shared" si="5"/>
        <v>55.70696846431905</v>
      </c>
      <c r="S19" s="61">
        <f t="shared" si="5"/>
        <v>55.80696846431905</v>
      </c>
      <c r="T19" s="61">
        <f t="shared" si="5"/>
        <v>55.90696846431905</v>
      </c>
      <c r="U19" s="61">
        <f t="shared" si="5"/>
        <v>56.00696846431905</v>
      </c>
      <c r="V19" s="61">
        <f>+$W16+$K16</f>
        <v>56.10696846431904</v>
      </c>
      <c r="W19" s="63">
        <f>HLOOKUP(W18,L18:V19,2,FALSE)</f>
        <v>56.00696846431905</v>
      </c>
    </row>
    <row r="20" spans="10:23" ht="10.5">
      <c r="J20" s="54" t="s">
        <v>181</v>
      </c>
      <c r="K20" s="55"/>
      <c r="L20" s="55">
        <f aca="true" t="shared" si="6" ref="L20:V20">IF($D$10^2-($D$5-L22)^2-($H$5-$H$6)^2&lt;0,0,IF($D$12&gt;0,1,-1)*SQRT($D$10^2-($D$5-L22)^2-($H$5-$H$6)^2)+$F$5)</f>
        <v>66.59083365701827</v>
      </c>
      <c r="M20" s="55">
        <f t="shared" si="6"/>
        <v>66.82982411306251</v>
      </c>
      <c r="N20" s="55">
        <f t="shared" si="6"/>
        <v>67.08850293592472</v>
      </c>
      <c r="O20" s="55">
        <f t="shared" si="6"/>
        <v>67.37267909190382</v>
      </c>
      <c r="P20" s="55">
        <f t="shared" si="6"/>
        <v>67.69175062999714</v>
      </c>
      <c r="Q20" s="55">
        <f t="shared" si="6"/>
        <v>68.06288483715632</v>
      </c>
      <c r="R20" s="55">
        <f t="shared" si="6"/>
        <v>68.52486775029557</v>
      </c>
      <c r="S20" s="55">
        <f t="shared" si="6"/>
        <v>69.22616852343786</v>
      </c>
      <c r="T20" s="55">
        <f t="shared" si="6"/>
        <v>0</v>
      </c>
      <c r="U20" s="55">
        <f t="shared" si="6"/>
        <v>0</v>
      </c>
      <c r="V20" s="55">
        <f t="shared" si="6"/>
        <v>0</v>
      </c>
      <c r="W20" s="56">
        <f>IF($D$12&gt;0,1,-1)*SQRT($D$10^2-($D$5-W22)^2-($H$5-$H$6)^2)+$F$5</f>
        <v>68.52486775029557</v>
      </c>
    </row>
    <row r="21" spans="10:23" ht="10.5">
      <c r="J21" s="57"/>
      <c r="K21" s="58"/>
      <c r="L21" s="58">
        <f aca="true" t="shared" si="7" ref="L21:V21">IF($D$10^2-($D$5-L22)^2-($H$5-$H$6)^2&lt;0,$D$11,ABS(SQRT((L22-$D$7)^2+(L20-$F$7)^2+($H$6-$H$7)^2)-$D$11))</f>
        <v>1.9597873397110739</v>
      </c>
      <c r="M21" s="58">
        <f t="shared" si="7"/>
        <v>1.7286750432420597</v>
      </c>
      <c r="N21" s="58">
        <f t="shared" si="7"/>
        <v>1.4783589892792826</v>
      </c>
      <c r="O21" s="58">
        <f t="shared" si="7"/>
        <v>1.2031648821346899</v>
      </c>
      <c r="P21" s="58">
        <f t="shared" si="7"/>
        <v>0.8939115566001021</v>
      </c>
      <c r="Q21" s="58">
        <f t="shared" si="7"/>
        <v>0.5338260688811935</v>
      </c>
      <c r="R21" s="58">
        <f t="shared" si="7"/>
        <v>0.08500905779260037</v>
      </c>
      <c r="S21" s="58">
        <f t="shared" si="7"/>
        <v>0.5976326556845528</v>
      </c>
      <c r="T21" s="58">
        <f t="shared" si="7"/>
        <v>30</v>
      </c>
      <c r="U21" s="58">
        <f t="shared" si="7"/>
        <v>30</v>
      </c>
      <c r="V21" s="58">
        <f t="shared" si="7"/>
        <v>30</v>
      </c>
      <c r="W21" s="59">
        <f>MIN(L21:V21)</f>
        <v>0.08500905779260037</v>
      </c>
    </row>
    <row r="22" spans="10:23" ht="10.5">
      <c r="J22" s="60" t="s">
        <v>182</v>
      </c>
      <c r="K22" s="61">
        <f>($V22-$L22)/10</f>
        <v>0.020000000000000285</v>
      </c>
      <c r="L22" s="61">
        <f>+$W19-$K19</f>
        <v>55.90696846431905</v>
      </c>
      <c r="M22" s="61">
        <f aca="true" t="shared" si="8" ref="M22:U22">+L22+$K22</f>
        <v>55.92696846431905</v>
      </c>
      <c r="N22" s="61">
        <f t="shared" si="8"/>
        <v>55.946968464319056</v>
      </c>
      <c r="O22" s="61">
        <f t="shared" si="8"/>
        <v>55.96696846431906</v>
      </c>
      <c r="P22" s="61">
        <f t="shared" si="8"/>
        <v>55.98696846431906</v>
      </c>
      <c r="Q22" s="61">
        <f t="shared" si="8"/>
        <v>56.006968464319066</v>
      </c>
      <c r="R22" s="61">
        <f t="shared" si="8"/>
        <v>56.02696846431907</v>
      </c>
      <c r="S22" s="61">
        <f t="shared" si="8"/>
        <v>56.04696846431907</v>
      </c>
      <c r="T22" s="61">
        <f t="shared" si="8"/>
        <v>56.066968464319075</v>
      </c>
      <c r="U22" s="61">
        <f t="shared" si="8"/>
        <v>56.08696846431908</v>
      </c>
      <c r="V22" s="61">
        <f>+$W19+$K19</f>
        <v>56.10696846431905</v>
      </c>
      <c r="W22" s="63">
        <f>HLOOKUP(W21,L21:V22,2,FALSE)</f>
        <v>56.02696846431907</v>
      </c>
    </row>
    <row r="23" spans="10:23" ht="10.5">
      <c r="J23" s="54" t="s">
        <v>181</v>
      </c>
      <c r="K23" s="55"/>
      <c r="L23" s="55">
        <f aca="true" t="shared" si="9" ref="L23:V23">IF($D$10^2-($D$5-L25)^2-($H$5-$H$6)^2&lt;0,0,IF($D$12&gt;0,1,-1)*SQRT($D$10^2-($D$5-L25)^2-($H$5-$H$6)^2)+$F$5)</f>
        <v>68.06288483715632</v>
      </c>
      <c r="M23" s="55">
        <f t="shared" si="9"/>
        <v>68.14603151210208</v>
      </c>
      <c r="N23" s="55">
        <f t="shared" si="9"/>
        <v>68.2330956013074</v>
      </c>
      <c r="O23" s="55">
        <f t="shared" si="9"/>
        <v>68.32468774429398</v>
      </c>
      <c r="P23" s="55">
        <f t="shared" si="9"/>
        <v>68.42159601048417</v>
      </c>
      <c r="Q23" s="55">
        <f t="shared" si="9"/>
        <v>68.52486775029519</v>
      </c>
      <c r="R23" s="55">
        <f t="shared" si="9"/>
        <v>68.635947525159</v>
      </c>
      <c r="S23" s="55">
        <f t="shared" si="9"/>
        <v>68.75692673018865</v>
      </c>
      <c r="T23" s="55">
        <f t="shared" si="9"/>
        <v>68.89104050835014</v>
      </c>
      <c r="U23" s="55">
        <f t="shared" si="9"/>
        <v>69.04379962658456</v>
      </c>
      <c r="V23" s="55">
        <f t="shared" si="9"/>
        <v>69.22616852343786</v>
      </c>
      <c r="W23" s="56">
        <f>IF($D$12&gt;0,1,-1)*SQRT($D$10^2-($D$5-W25)^2-($H$5-$H$6)^2)+$F$5</f>
        <v>68.635947525159</v>
      </c>
    </row>
    <row r="24" spans="10:23" ht="10.5">
      <c r="J24" s="57"/>
      <c r="K24" s="58"/>
      <c r="L24" s="58">
        <f aca="true" t="shared" si="10" ref="L24:V24">IF($D$10^2-($D$5-L25)^2-($H$5-$H$6)^2&lt;0,$D$11,ABS(SQRT((L25-$D$7)^2+(L23-$F$7)^2+($H$6-$H$7)^2)-$D$11))</f>
        <v>0.5338260688811935</v>
      </c>
      <c r="M24" s="58">
        <f t="shared" si="10"/>
        <v>0.4530979763215548</v>
      </c>
      <c r="N24" s="58">
        <f t="shared" si="10"/>
        <v>0.3685436448252801</v>
      </c>
      <c r="O24" s="58">
        <f t="shared" si="10"/>
        <v>0.27956635832361343</v>
      </c>
      <c r="P24" s="58">
        <f t="shared" si="10"/>
        <v>0.18539600020493552</v>
      </c>
      <c r="Q24" s="58">
        <f t="shared" si="10"/>
        <v>0.08500905779297341</v>
      </c>
      <c r="R24" s="58">
        <f t="shared" si="10"/>
        <v>0.02300618202640692</v>
      </c>
      <c r="S24" s="58">
        <f t="shared" si="10"/>
        <v>0.1406936010080706</v>
      </c>
      <c r="T24" s="58">
        <f t="shared" si="10"/>
        <v>0.27121491215034155</v>
      </c>
      <c r="U24" s="58">
        <f t="shared" si="10"/>
        <v>0.4199559174409089</v>
      </c>
      <c r="V24" s="58">
        <f t="shared" si="10"/>
        <v>0.5976326556845528</v>
      </c>
      <c r="W24" s="59">
        <f>MIN(L24:V24)</f>
        <v>0.02300618202640692</v>
      </c>
    </row>
    <row r="25" spans="10:23" ht="10.5">
      <c r="J25" s="60" t="s">
        <v>182</v>
      </c>
      <c r="K25" s="61">
        <f>($V25-$L25)/10</f>
        <v>0.0040000000000006255</v>
      </c>
      <c r="L25" s="61">
        <f>+$W22-$K22</f>
        <v>56.006968464319066</v>
      </c>
      <c r="M25" s="61">
        <f aca="true" t="shared" si="11" ref="M25:U25">+L25+$K25</f>
        <v>56.01096846431906</v>
      </c>
      <c r="N25" s="61">
        <f t="shared" si="11"/>
        <v>56.01496846431906</v>
      </c>
      <c r="O25" s="61">
        <f t="shared" si="11"/>
        <v>56.01896846431906</v>
      </c>
      <c r="P25" s="61">
        <f t="shared" si="11"/>
        <v>56.02296846431906</v>
      </c>
      <c r="Q25" s="61">
        <f t="shared" si="11"/>
        <v>56.026968464319054</v>
      </c>
      <c r="R25" s="61">
        <f t="shared" si="11"/>
        <v>56.03096846431905</v>
      </c>
      <c r="S25" s="61">
        <f t="shared" si="11"/>
        <v>56.03496846431905</v>
      </c>
      <c r="T25" s="61">
        <f t="shared" si="11"/>
        <v>56.03896846431905</v>
      </c>
      <c r="U25" s="61">
        <f t="shared" si="11"/>
        <v>56.042968464319046</v>
      </c>
      <c r="V25" s="61">
        <f>+$W22+$K22</f>
        <v>56.04696846431907</v>
      </c>
      <c r="W25" s="63">
        <f>HLOOKUP(W24,L24:V25,2,FALSE)</f>
        <v>56.03096846431905</v>
      </c>
    </row>
    <row r="26" spans="10:23" ht="10.5">
      <c r="J26" s="54" t="s">
        <v>181</v>
      </c>
      <c r="K26" s="55"/>
      <c r="L26" s="55">
        <f aca="true" t="shared" si="12" ref="L26:V26">IF($D$10^2-($D$5-L28)^2-($H$5-$H$6)^2&lt;0,0,IF($D$12&gt;0,1,-1)*SQRT($D$10^2-($D$5-L28)^2-($H$5-$H$6)^2)+$F$5)</f>
        <v>68.52486775029519</v>
      </c>
      <c r="M26" s="55">
        <f t="shared" si="12"/>
        <v>68.54640359311148</v>
      </c>
      <c r="N26" s="55">
        <f t="shared" si="12"/>
        <v>68.5682637833318</v>
      </c>
      <c r="O26" s="55">
        <f t="shared" si="12"/>
        <v>68.59046341157115</v>
      </c>
      <c r="P26" s="55">
        <f t="shared" si="12"/>
        <v>68.61301877657995</v>
      </c>
      <c r="Q26" s="55">
        <f t="shared" si="12"/>
        <v>68.635947525159</v>
      </c>
      <c r="R26" s="55">
        <f t="shared" si="12"/>
        <v>68.65926881362444</v>
      </c>
      <c r="S26" s="55">
        <f t="shared" si="12"/>
        <v>68.68300349502358</v>
      </c>
      <c r="T26" s="55">
        <f t="shared" si="12"/>
        <v>68.70717433730596</v>
      </c>
      <c r="U26" s="55">
        <f t="shared" si="12"/>
        <v>68.73180627894615</v>
      </c>
      <c r="V26" s="55">
        <f t="shared" si="12"/>
        <v>68.75692673018865</v>
      </c>
      <c r="W26" s="56">
        <f>IF($D$12&gt;0,1,-1)*SQRT($D$10^2-($D$5-W28)^2-($H$5-$H$6)^2)+$F$5</f>
        <v>68.61301877657995</v>
      </c>
    </row>
    <row r="27" spans="10:23" ht="10.5">
      <c r="J27" s="57"/>
      <c r="K27" s="58"/>
      <c r="L27" s="58">
        <f aca="true" t="shared" si="13" ref="L27:V27">IF($D$10^2-($D$5-L28)^2-($H$5-$H$6)^2&lt;0,$D$11,ABS(SQRT((L28-$D$7)^2+(L26-$F$7)^2+($H$6-$H$7)^2)-$D$11))</f>
        <v>0.08500905779297341</v>
      </c>
      <c r="M27" s="58">
        <f t="shared" si="13"/>
        <v>0.06407048221041833</v>
      </c>
      <c r="N27" s="58">
        <f t="shared" si="13"/>
        <v>0.04281502217328281</v>
      </c>
      <c r="O27" s="58">
        <f t="shared" si="13"/>
        <v>0.021227929994140027</v>
      </c>
      <c r="P27" s="58">
        <f t="shared" si="13"/>
        <v>0.0007067227624411032</v>
      </c>
      <c r="Q27" s="58">
        <f t="shared" si="13"/>
        <v>0.02300618202640692</v>
      </c>
      <c r="R27" s="58">
        <f t="shared" si="13"/>
        <v>0.04568916903102149</v>
      </c>
      <c r="S27" s="58">
        <f t="shared" si="13"/>
        <v>0.06877606328976071</v>
      </c>
      <c r="T27" s="58">
        <f t="shared" si="13"/>
        <v>0.09228911582790289</v>
      </c>
      <c r="U27" s="58">
        <f t="shared" si="13"/>
        <v>0.11625269901851354</v>
      </c>
      <c r="V27" s="58">
        <f t="shared" si="13"/>
        <v>0.1406936010080706</v>
      </c>
      <c r="W27" s="59">
        <f>MIN(L27:V27)</f>
        <v>0.0007067227624411032</v>
      </c>
    </row>
    <row r="28" spans="10:23" ht="10.5">
      <c r="J28" s="60" t="s">
        <v>182</v>
      </c>
      <c r="K28" s="61">
        <f>($V28-$L28)/10</f>
        <v>0.0007999999999995566</v>
      </c>
      <c r="L28" s="61">
        <f>+$W25-$K25</f>
        <v>56.026968464319054</v>
      </c>
      <c r="M28" s="61">
        <f aca="true" t="shared" si="14" ref="M28:U28">+L28+$K28</f>
        <v>56.02776846431905</v>
      </c>
      <c r="N28" s="61">
        <f t="shared" si="14"/>
        <v>56.02856846431905</v>
      </c>
      <c r="O28" s="61">
        <f t="shared" si="14"/>
        <v>56.02936846431905</v>
      </c>
      <c r="P28" s="61">
        <f t="shared" si="14"/>
        <v>56.03016846431905</v>
      </c>
      <c r="Q28" s="61">
        <f t="shared" si="14"/>
        <v>56.030968464319045</v>
      </c>
      <c r="R28" s="61">
        <f t="shared" si="14"/>
        <v>56.03176846431904</v>
      </c>
      <c r="S28" s="61">
        <f t="shared" si="14"/>
        <v>56.03256846431904</v>
      </c>
      <c r="T28" s="61">
        <f t="shared" si="14"/>
        <v>56.03336846431904</v>
      </c>
      <c r="U28" s="61">
        <f t="shared" si="14"/>
        <v>56.03416846431904</v>
      </c>
      <c r="V28" s="61">
        <f>+$W25+$K25</f>
        <v>56.03496846431905</v>
      </c>
      <c r="W28" s="63">
        <f>HLOOKUP(W27,L27:V28,2,FALSE)</f>
        <v>56.03016846431905</v>
      </c>
    </row>
    <row r="29" spans="10:23" ht="10.5">
      <c r="J29" s="54" t="s">
        <v>181</v>
      </c>
      <c r="K29" s="55"/>
      <c r="L29" s="55">
        <f aca="true" t="shared" si="15" ref="L29:V29">IF($D$10^2-($D$5-L31)^2-($H$5-$H$6)^2&lt;0,0,IF($D$12&gt;0,1,-1)*SQRT($D$10^2-($D$5-L31)^2-($H$5-$H$6)^2)+$F$5)</f>
        <v>68.59046341157115</v>
      </c>
      <c r="M29" s="55">
        <f t="shared" si="15"/>
        <v>68.59494548129976</v>
      </c>
      <c r="N29" s="55">
        <f t="shared" si="15"/>
        <v>68.599441912765</v>
      </c>
      <c r="O29" s="55">
        <f t="shared" si="15"/>
        <v>68.6039528447363</v>
      </c>
      <c r="P29" s="55">
        <f t="shared" si="15"/>
        <v>68.60847841823445</v>
      </c>
      <c r="Q29" s="55">
        <f t="shared" si="15"/>
        <v>68.61301877657995</v>
      </c>
      <c r="R29" s="55">
        <f t="shared" si="15"/>
        <v>68.61757406544909</v>
      </c>
      <c r="S29" s="55">
        <f t="shared" si="15"/>
        <v>68.62214443292504</v>
      </c>
      <c r="T29" s="55">
        <f t="shared" si="15"/>
        <v>68.6267300295576</v>
      </c>
      <c r="U29" s="55">
        <f t="shared" si="15"/>
        <v>68.63133100841753</v>
      </c>
      <c r="V29" s="55">
        <f t="shared" si="15"/>
        <v>68.635947525159</v>
      </c>
      <c r="W29" s="56">
        <f>IF($D$12&gt;0,1,-1)*SQRT($D$10^2-($D$5-W31)^2-($H$5-$H$6)^2)+$F$5</f>
        <v>68.61301877657995</v>
      </c>
    </row>
    <row r="30" spans="10:23" ht="10.5">
      <c r="J30" s="57"/>
      <c r="K30" s="58"/>
      <c r="L30" s="58">
        <f aca="true" t="shared" si="16" ref="L30:V30">IF($D$10^2-($D$5-L31)^2-($H$5-$H$6)^2&lt;0,$D$11,ABS(SQRT((L31-$D$7)^2+(L29-$F$7)^2+($H$6-$H$7)^2)-$D$11))</f>
        <v>0.021227929994140027</v>
      </c>
      <c r="M30" s="58">
        <f t="shared" si="16"/>
        <v>0.016869336254355716</v>
      </c>
      <c r="N30" s="58">
        <f t="shared" si="16"/>
        <v>0.01249671083066417</v>
      </c>
      <c r="O30" s="58">
        <f t="shared" si="16"/>
        <v>0.008109918106107727</v>
      </c>
      <c r="P30" s="58">
        <f t="shared" si="16"/>
        <v>0.0037088202633590583</v>
      </c>
      <c r="Q30" s="58">
        <f t="shared" si="16"/>
        <v>0.0007067227624411032</v>
      </c>
      <c r="R30" s="58">
        <f t="shared" si="16"/>
        <v>0.005136853338594705</v>
      </c>
      <c r="S30" s="58">
        <f t="shared" si="16"/>
        <v>0.00958171618470871</v>
      </c>
      <c r="T30" s="58">
        <f t="shared" si="16"/>
        <v>0.014041458431137244</v>
      </c>
      <c r="U30" s="58">
        <f t="shared" si="16"/>
        <v>0.0185162296720236</v>
      </c>
      <c r="V30" s="58">
        <f t="shared" si="16"/>
        <v>0.02300618202640692</v>
      </c>
      <c r="W30" s="59">
        <f>MIN(L30:V30)</f>
        <v>0.0007067227624411032</v>
      </c>
    </row>
    <row r="31" spans="10:23" ht="10.5">
      <c r="J31" s="60" t="s">
        <v>182</v>
      </c>
      <c r="K31" s="61">
        <f>($V31-$L31)/10</f>
        <v>0.0001599999999996271</v>
      </c>
      <c r="L31" s="61">
        <f>+$W28-$K28</f>
        <v>56.02936846431905</v>
      </c>
      <c r="M31" s="61">
        <f aca="true" t="shared" si="17" ref="M31:U31">+L31+$K31</f>
        <v>56.02952846431905</v>
      </c>
      <c r="N31" s="61">
        <f t="shared" si="17"/>
        <v>56.02968846431905</v>
      </c>
      <c r="O31" s="61">
        <f t="shared" si="17"/>
        <v>56.02984846431905</v>
      </c>
      <c r="P31" s="61">
        <f t="shared" si="17"/>
        <v>56.03000846431905</v>
      </c>
      <c r="Q31" s="61">
        <f t="shared" si="17"/>
        <v>56.030168464319054</v>
      </c>
      <c r="R31" s="61">
        <f t="shared" si="17"/>
        <v>56.030328464319055</v>
      </c>
      <c r="S31" s="61">
        <f t="shared" si="17"/>
        <v>56.030488464319056</v>
      </c>
      <c r="T31" s="61">
        <f t="shared" si="17"/>
        <v>56.03064846431906</v>
      </c>
      <c r="U31" s="61">
        <f t="shared" si="17"/>
        <v>56.03080846431906</v>
      </c>
      <c r="V31" s="61">
        <f>+$W28+$K28</f>
        <v>56.030968464319045</v>
      </c>
      <c r="W31" s="63">
        <f>HLOOKUP(W30,L30:V31,2,FALSE)</f>
        <v>56.030168464319054</v>
      </c>
    </row>
    <row r="32" spans="10:23" ht="10.5">
      <c r="J32" s="54" t="s">
        <v>181</v>
      </c>
      <c r="K32" s="55"/>
      <c r="L32" s="55">
        <f aca="true" t="shared" si="18" ref="L32:V32">IF($D$10^2-($D$5-L34)^2-($H$5-$H$6)^2&lt;0,0,IF($D$12&gt;0,1,-1)*SQRT($D$10^2-($D$5-L34)^2-($H$5-$H$6)^2)+$F$5)</f>
        <v>68.60847841823445</v>
      </c>
      <c r="M32" s="55">
        <f t="shared" si="18"/>
        <v>68.60938530248812</v>
      </c>
      <c r="N32" s="55">
        <f t="shared" si="18"/>
        <v>68.61029277928631</v>
      </c>
      <c r="O32" s="55">
        <f t="shared" si="18"/>
        <v>68.61120084978987</v>
      </c>
      <c r="P32" s="55">
        <f t="shared" si="18"/>
        <v>68.61210951516485</v>
      </c>
      <c r="Q32" s="55">
        <f t="shared" si="18"/>
        <v>68.61301877657954</v>
      </c>
      <c r="R32" s="55">
        <f t="shared" si="18"/>
        <v>68.61392863520791</v>
      </c>
      <c r="S32" s="55">
        <f t="shared" si="18"/>
        <v>68.61483909222603</v>
      </c>
      <c r="T32" s="55">
        <f t="shared" si="18"/>
        <v>68.61575014881528</v>
      </c>
      <c r="U32" s="55">
        <f t="shared" si="18"/>
        <v>68.6166618061596</v>
      </c>
      <c r="V32" s="55">
        <f t="shared" si="18"/>
        <v>68.61757406544909</v>
      </c>
      <c r="W32" s="56">
        <f>IF($D$12&gt;0,1,-1)*SQRT($D$10^2-($D$5-W34)^2-($H$5-$H$6)^2)+$F$5</f>
        <v>68.61210951516485</v>
      </c>
    </row>
    <row r="33" spans="10:23" ht="10.5">
      <c r="J33" s="57"/>
      <c r="K33" s="58"/>
      <c r="L33" s="58">
        <f aca="true" t="shared" si="19" ref="L33:V33">IF($D$10^2-($D$5-L34)^2-($H$5-$H$6)^2&lt;0,$D$11,ABS(SQRT((L34-$D$7)^2+(L32-$F$7)^2+($H$6-$H$7)^2)-$D$11))</f>
        <v>0.0037088202633590583</v>
      </c>
      <c r="M33" s="58">
        <f t="shared" si="19"/>
        <v>0.002826871795370778</v>
      </c>
      <c r="N33" s="58">
        <f t="shared" si="19"/>
        <v>0.0019443443955680095</v>
      </c>
      <c r="O33" s="58">
        <f t="shared" si="19"/>
        <v>0.0010612369294733526</v>
      </c>
      <c r="P33" s="58">
        <f t="shared" si="19"/>
        <v>0.00017754825752192005</v>
      </c>
      <c r="Q33" s="58">
        <f t="shared" si="19"/>
        <v>0.0007067227620360939</v>
      </c>
      <c r="R33" s="58">
        <f t="shared" si="19"/>
        <v>0.0015915772765175973</v>
      </c>
      <c r="S33" s="58">
        <f t="shared" si="19"/>
        <v>0.002477016435264545</v>
      </c>
      <c r="T33" s="58">
        <f t="shared" si="19"/>
        <v>0.0033630413928200653</v>
      </c>
      <c r="U33" s="58">
        <f t="shared" si="19"/>
        <v>0.004249653306242607</v>
      </c>
      <c r="V33" s="58">
        <f t="shared" si="19"/>
        <v>0.005136853338594705</v>
      </c>
      <c r="W33" s="59">
        <f>MIN(L33:V33)</f>
        <v>0.00017754825752192005</v>
      </c>
    </row>
    <row r="34" spans="10:23" ht="10.5">
      <c r="J34" s="60" t="s">
        <v>182</v>
      </c>
      <c r="K34" s="61">
        <f>($V34-$L34)/10</f>
        <v>3.2000000000209636E-05</v>
      </c>
      <c r="L34" s="61">
        <f>+$W31-$K31</f>
        <v>56.03000846431905</v>
      </c>
      <c r="M34" s="61">
        <f aca="true" t="shared" si="20" ref="M34:U34">+L34+$K34</f>
        <v>56.03004046431905</v>
      </c>
      <c r="N34" s="61">
        <f t="shared" si="20"/>
        <v>56.03007246431905</v>
      </c>
      <c r="O34" s="61">
        <f t="shared" si="20"/>
        <v>56.030104464319045</v>
      </c>
      <c r="P34" s="61">
        <f t="shared" si="20"/>
        <v>56.03013646431904</v>
      </c>
      <c r="Q34" s="61">
        <f t="shared" si="20"/>
        <v>56.03016846431904</v>
      </c>
      <c r="R34" s="61">
        <f t="shared" si="20"/>
        <v>56.03020046431904</v>
      </c>
      <c r="S34" s="61">
        <f t="shared" si="20"/>
        <v>56.030232464319035</v>
      </c>
      <c r="T34" s="61">
        <f t="shared" si="20"/>
        <v>56.03026446431903</v>
      </c>
      <c r="U34" s="61">
        <f t="shared" si="20"/>
        <v>56.03029646431903</v>
      </c>
      <c r="V34" s="61">
        <f>+$W31+$K31</f>
        <v>56.030328464319055</v>
      </c>
      <c r="W34" s="63">
        <f>HLOOKUP(W33,L33:V34,2,FALSE)</f>
        <v>56.03013646431904</v>
      </c>
    </row>
    <row r="35" spans="10:23" ht="10.5">
      <c r="J35" s="54" t="s">
        <v>181</v>
      </c>
      <c r="K35" s="55"/>
      <c r="L35" s="55">
        <f aca="true" t="shared" si="21" ref="L35:V35">IF($D$10^2-($D$5-L37)^2-($H$5-$H$6)^2&lt;0,0,IF($D$12&gt;0,1,-1)*SQRT($D$10^2-($D$5-L37)^2-($H$5-$H$6)^2)+$F$5)</f>
        <v>68.61120084978987</v>
      </c>
      <c r="M35" s="55">
        <f t="shared" si="21"/>
        <v>68.6113825352379</v>
      </c>
      <c r="N35" s="55">
        <f t="shared" si="21"/>
        <v>68.61156424448967</v>
      </c>
      <c r="O35" s="55">
        <f t="shared" si="21"/>
        <v>68.61174597755543</v>
      </c>
      <c r="P35" s="55">
        <f t="shared" si="21"/>
        <v>68.61192773444363</v>
      </c>
      <c r="Q35" s="55">
        <f t="shared" si="21"/>
        <v>68.61210951516443</v>
      </c>
      <c r="R35" s="55">
        <f t="shared" si="21"/>
        <v>68.61229131972641</v>
      </c>
      <c r="S35" s="55">
        <f t="shared" si="21"/>
        <v>68.61247314813983</v>
      </c>
      <c r="T35" s="55">
        <f t="shared" si="21"/>
        <v>68.61265500041314</v>
      </c>
      <c r="U35" s="55">
        <f t="shared" si="21"/>
        <v>68.61283687655659</v>
      </c>
      <c r="V35" s="55">
        <f t="shared" si="21"/>
        <v>68.61301877657954</v>
      </c>
      <c r="W35" s="56">
        <f>IF($D$12&gt;0,1,-1)*SQRT($D$10^2-($D$5-W37)^2-($H$5-$H$6)^2)+$F$5</f>
        <v>68.61229131972641</v>
      </c>
    </row>
    <row r="36" spans="10:23" ht="10.5">
      <c r="J36" s="57"/>
      <c r="K36" s="58"/>
      <c r="L36" s="58">
        <f aca="true" t="shared" si="22" ref="L36:V36">IF($D$10^2-($D$5-L37)^2-($H$5-$H$6)^2&lt;0,$D$11,ABS(SQRT((L37-$D$7)^2+(L35-$F$7)^2+($H$6-$H$7)^2)-$D$11))</f>
        <v>0.0010612369294733526</v>
      </c>
      <c r="M36" s="58">
        <f t="shared" si="22"/>
        <v>0.0008845457279633706</v>
      </c>
      <c r="N36" s="58">
        <f t="shared" si="22"/>
        <v>0.0007078312695227851</v>
      </c>
      <c r="O36" s="58">
        <f t="shared" si="22"/>
        <v>0.0005310935441613651</v>
      </c>
      <c r="P36" s="58">
        <f t="shared" si="22"/>
        <v>0.0003543325436083933</v>
      </c>
      <c r="Q36" s="58">
        <f t="shared" si="22"/>
        <v>0.0001775482579233767</v>
      </c>
      <c r="R36" s="58">
        <f t="shared" si="22"/>
        <v>7.406787467800768E-07</v>
      </c>
      <c r="S36" s="58">
        <f t="shared" si="22"/>
        <v>0.00017609020396136543</v>
      </c>
      <c r="T36" s="58">
        <f t="shared" si="22"/>
        <v>0.0003529443984717773</v>
      </c>
      <c r="U36" s="58">
        <f t="shared" si="22"/>
        <v>0.0005298219147746863</v>
      </c>
      <c r="V36" s="58">
        <f t="shared" si="22"/>
        <v>0.0007067227620360939</v>
      </c>
      <c r="W36" s="59">
        <f>MIN(L36:V36)</f>
        <v>7.406787467800768E-07</v>
      </c>
    </row>
    <row r="37" spans="10:23" ht="10.5">
      <c r="J37" s="60" t="s">
        <v>182</v>
      </c>
      <c r="K37" s="61">
        <f>($V37-$L37)/10</f>
        <v>6.399999999473493E-06</v>
      </c>
      <c r="L37" s="61">
        <f>+$W34-$K34</f>
        <v>56.030104464319045</v>
      </c>
      <c r="M37" s="61">
        <f aca="true" t="shared" si="23" ref="M37:U37">+L37+$K37</f>
        <v>56.03011086431904</v>
      </c>
      <c r="N37" s="61">
        <f t="shared" si="23"/>
        <v>56.03011726431904</v>
      </c>
      <c r="O37" s="61">
        <f t="shared" si="23"/>
        <v>56.030123664319035</v>
      </c>
      <c r="P37" s="61">
        <f t="shared" si="23"/>
        <v>56.03013006431903</v>
      </c>
      <c r="Q37" s="61">
        <f t="shared" si="23"/>
        <v>56.03013646431903</v>
      </c>
      <c r="R37" s="61">
        <f t="shared" si="23"/>
        <v>56.030142864319025</v>
      </c>
      <c r="S37" s="61">
        <f t="shared" si="23"/>
        <v>56.03014926431902</v>
      </c>
      <c r="T37" s="61">
        <f t="shared" si="23"/>
        <v>56.03015566431902</v>
      </c>
      <c r="U37" s="61">
        <f t="shared" si="23"/>
        <v>56.030162064319015</v>
      </c>
      <c r="V37" s="61">
        <f>+$W34+$K34</f>
        <v>56.03016846431904</v>
      </c>
      <c r="W37" s="63">
        <f>HLOOKUP(W36,L36:V37,2,FALSE)</f>
        <v>56.030142864319025</v>
      </c>
    </row>
    <row r="38" spans="10:23" ht="10.5">
      <c r="J38" s="54" t="s">
        <v>181</v>
      </c>
      <c r="K38" s="55"/>
      <c r="L38" s="55">
        <f aca="true" t="shared" si="24" ref="L38:V38">IF($D$10^2-($D$5-L40)^2-($H$5-$H$6)^2&lt;0,0,IF($D$12&gt;0,1,-1)*SQRT($D$10^2-($D$5-L40)^2-($H$5-$H$6)^2)+$F$5)</f>
        <v>68.61210951516443</v>
      </c>
      <c r="M38" s="55">
        <f t="shared" si="24"/>
        <v>68.61214587416903</v>
      </c>
      <c r="N38" s="55">
        <f t="shared" si="24"/>
        <v>68.61218223412781</v>
      </c>
      <c r="O38" s="55">
        <f t="shared" si="24"/>
        <v>68.61221859503996</v>
      </c>
      <c r="P38" s="55">
        <f t="shared" si="24"/>
        <v>68.61225495690638</v>
      </c>
      <c r="Q38" s="55">
        <f t="shared" si="24"/>
        <v>68.61229131972641</v>
      </c>
      <c r="R38" s="55">
        <f t="shared" si="24"/>
        <v>68.61232768350085</v>
      </c>
      <c r="S38" s="55">
        <f t="shared" si="24"/>
        <v>68.61236404822904</v>
      </c>
      <c r="T38" s="55">
        <f t="shared" si="24"/>
        <v>68.6124004139118</v>
      </c>
      <c r="U38" s="55">
        <f t="shared" si="24"/>
        <v>68.61243678054845</v>
      </c>
      <c r="V38" s="55">
        <f t="shared" si="24"/>
        <v>68.61247314813983</v>
      </c>
      <c r="W38" s="56">
        <f>IF($D$12&gt;0,1,-1)*SQRT($D$10^2-($D$5-W40)^2-($H$5-$H$6)^2)+$F$5</f>
        <v>68.61229131972641</v>
      </c>
    </row>
    <row r="39" spans="10:23" ht="10.5">
      <c r="J39" s="57"/>
      <c r="K39" s="58"/>
      <c r="L39" s="58">
        <f aca="true" t="shared" si="25" ref="L39:V39">IF($D$10^2-($D$5-L40)^2-($H$5-$H$6)^2&lt;0,$D$11,ABS(SQRT((L40-$D$7)^2+(L38-$F$7)^2+($H$6-$H$7)^2)-$D$11))</f>
        <v>0.0001775482579233767</v>
      </c>
      <c r="M39" s="58">
        <f t="shared" si="25"/>
        <v>0.00014218860605907935</v>
      </c>
      <c r="N39" s="58">
        <f t="shared" si="25"/>
        <v>0.00010682802193073826</v>
      </c>
      <c r="O39" s="58">
        <f t="shared" si="25"/>
        <v>7.146650633771401E-05</v>
      </c>
      <c r="P39" s="58">
        <f t="shared" si="25"/>
        <v>3.6104058391828175E-05</v>
      </c>
      <c r="Q39" s="58">
        <f t="shared" si="25"/>
        <v>7.406787467800768E-07</v>
      </c>
      <c r="R39" s="58">
        <f t="shared" si="25"/>
        <v>3.4623633386132724E-05</v>
      </c>
      <c r="S39" s="58">
        <f t="shared" si="25"/>
        <v>6.998887736031634E-05</v>
      </c>
      <c r="T39" s="58">
        <f t="shared" si="25"/>
        <v>0.00010535505397868405</v>
      </c>
      <c r="U39" s="58">
        <f t="shared" si="25"/>
        <v>0.0001407221625733257</v>
      </c>
      <c r="V39" s="58">
        <f t="shared" si="25"/>
        <v>0.00017609020396136543</v>
      </c>
      <c r="W39" s="59">
        <f>MIN(L39:V39)</f>
        <v>7.406787467800768E-07</v>
      </c>
    </row>
    <row r="40" spans="10:23" ht="10.5">
      <c r="J40" s="60" t="s">
        <v>182</v>
      </c>
      <c r="K40" s="61">
        <f>($V40-$L40)/10</f>
        <v>1.2799999993262645E-06</v>
      </c>
      <c r="L40" s="61">
        <f>+$W37-$K37</f>
        <v>56.03013646431903</v>
      </c>
      <c r="M40" s="61">
        <f aca="true" t="shared" si="26" ref="M40:U40">+L40+$K40</f>
        <v>56.03013774431903</v>
      </c>
      <c r="N40" s="61">
        <f t="shared" si="26"/>
        <v>56.03013902431903</v>
      </c>
      <c r="O40" s="61">
        <f t="shared" si="26"/>
        <v>56.030140304319026</v>
      </c>
      <c r="P40" s="61">
        <f t="shared" si="26"/>
        <v>56.030141584319026</v>
      </c>
      <c r="Q40" s="61">
        <f t="shared" si="26"/>
        <v>56.030142864319025</v>
      </c>
      <c r="R40" s="61">
        <f t="shared" si="26"/>
        <v>56.030144144319024</v>
      </c>
      <c r="S40" s="61">
        <f t="shared" si="26"/>
        <v>56.030145424319024</v>
      </c>
      <c r="T40" s="61">
        <f t="shared" si="26"/>
        <v>56.03014670431902</v>
      </c>
      <c r="U40" s="61">
        <f t="shared" si="26"/>
        <v>56.03014798431902</v>
      </c>
      <c r="V40" s="61">
        <f>+$W37+$K37</f>
        <v>56.03014926431902</v>
      </c>
      <c r="W40" s="63">
        <f>HLOOKUP(W39,L39:V40,2,FALSE)</f>
        <v>56.030142864319025</v>
      </c>
    </row>
    <row r="41" spans="10:23" ht="10.5">
      <c r="J41" s="64" t="str">
        <f>+J38</f>
        <v>ycR</v>
      </c>
      <c r="K41" s="65"/>
      <c r="L41" s="55">
        <f aca="true" t="shared" si="27" ref="L41:V41">IF($D$10^2-($D$5-L43)^2-($H$5-$H$6)^2&lt;0,0,IF($D$12&gt;0,1,-1)*SQRT($D$10^2-($D$5-L43)^2-($H$5-$H$6)^2)+$F$5)</f>
        <v>68.61225495690638</v>
      </c>
      <c r="M41" s="55">
        <f t="shared" si="27"/>
        <v>68.61226222939393</v>
      </c>
      <c r="N41" s="55">
        <f t="shared" si="27"/>
        <v>68.61226950192001</v>
      </c>
      <c r="O41" s="55">
        <f t="shared" si="27"/>
        <v>68.61227677448386</v>
      </c>
      <c r="P41" s="55">
        <f t="shared" si="27"/>
        <v>68.61228404708625</v>
      </c>
      <c r="Q41" s="55">
        <f t="shared" si="27"/>
        <v>68.61229131972641</v>
      </c>
      <c r="R41" s="55">
        <f t="shared" si="27"/>
        <v>68.61229859240518</v>
      </c>
      <c r="S41" s="55">
        <f t="shared" si="27"/>
        <v>68.61230586512166</v>
      </c>
      <c r="T41" s="55">
        <f t="shared" si="27"/>
        <v>68.61231313787665</v>
      </c>
      <c r="U41" s="55">
        <f t="shared" si="27"/>
        <v>68.61232041066953</v>
      </c>
      <c r="V41" s="55">
        <f t="shared" si="27"/>
        <v>68.61232768350085</v>
      </c>
      <c r="W41" s="66">
        <f>IF($D$12&gt;0,1,-1)*SQRT($D$10^2-($D$5-W43)^2-($H$5-$H$6)^2)+$F$5</f>
        <v>68.61229131972641</v>
      </c>
    </row>
    <row r="42" spans="10:23" ht="10.5">
      <c r="J42" s="67"/>
      <c r="K42" s="68"/>
      <c r="L42" s="58">
        <f aca="true" t="shared" si="28" ref="L42:V42">IF($D$10^2-($D$5-L43)^2-($H$5-$H$6)^2&lt;0,$D$11,ABS(SQRT((L43-$D$7)^2+(L41-$F$7)^2+($H$6-$H$7)^2)-$D$11))</f>
        <v>3.6104058391828175E-05</v>
      </c>
      <c r="M42" s="58">
        <f t="shared" si="28"/>
        <v>2.9031457160044738E-05</v>
      </c>
      <c r="N42" s="58">
        <f t="shared" si="28"/>
        <v>2.1958818290812587E-05</v>
      </c>
      <c r="O42" s="58">
        <f t="shared" si="28"/>
        <v>1.4886142512438028E-05</v>
      </c>
      <c r="P42" s="58">
        <f t="shared" si="28"/>
        <v>7.8134290824039E-06</v>
      </c>
      <c r="Q42" s="58">
        <f t="shared" si="28"/>
        <v>7.406787467800768E-07</v>
      </c>
      <c r="R42" s="58">
        <f t="shared" si="28"/>
        <v>6.332109311557588E-06</v>
      </c>
      <c r="S42" s="58">
        <f t="shared" si="28"/>
        <v>1.3404934207983388E-05</v>
      </c>
      <c r="T42" s="58">
        <f t="shared" si="28"/>
        <v>2.04777967418579E-05</v>
      </c>
      <c r="U42" s="58">
        <f t="shared" si="28"/>
        <v>2.755069627724538E-05</v>
      </c>
      <c r="V42" s="58">
        <f t="shared" si="28"/>
        <v>3.4623633386132724E-05</v>
      </c>
      <c r="W42" s="69">
        <f>MIN(L42:V42)</f>
        <v>7.406787467800768E-07</v>
      </c>
    </row>
    <row r="43" spans="10:23" ht="10.5">
      <c r="J43" s="70" t="str">
        <f>+J40</f>
        <v>xcR</v>
      </c>
      <c r="K43" s="61">
        <f>($V43-$L43)/10</f>
        <v>2.559999998652529E-07</v>
      </c>
      <c r="L43" s="71">
        <f>+$W40-$K40</f>
        <v>56.030141584319026</v>
      </c>
      <c r="M43" s="71">
        <f aca="true" t="shared" si="29" ref="M43:U43">+L43+$K43</f>
        <v>56.030141840319025</v>
      </c>
      <c r="N43" s="71">
        <f t="shared" si="29"/>
        <v>56.030142096319025</v>
      </c>
      <c r="O43" s="71">
        <f t="shared" si="29"/>
        <v>56.030142352319025</v>
      </c>
      <c r="P43" s="71">
        <f t="shared" si="29"/>
        <v>56.030142608319025</v>
      </c>
      <c r="Q43" s="71">
        <f t="shared" si="29"/>
        <v>56.030142864319025</v>
      </c>
      <c r="R43" s="71">
        <f t="shared" si="29"/>
        <v>56.030143120319025</v>
      </c>
      <c r="S43" s="71">
        <f t="shared" si="29"/>
        <v>56.030143376319025</v>
      </c>
      <c r="T43" s="71">
        <f t="shared" si="29"/>
        <v>56.030143632319025</v>
      </c>
      <c r="U43" s="71">
        <f t="shared" si="29"/>
        <v>56.030143888319024</v>
      </c>
      <c r="V43" s="71">
        <f>+$W40+$K40</f>
        <v>56.030144144319024</v>
      </c>
      <c r="W43" s="72">
        <f>HLOOKUP(W42,L42:V43,2,FALSE)</f>
        <v>56.030142864319025</v>
      </c>
    </row>
  </sheetData>
  <printOptions/>
  <pageMargins left="0.75" right="0.75" top="1" bottom="1" header="0.512" footer="0.512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43"/>
  <sheetViews>
    <sheetView workbookViewId="0" topLeftCell="E1">
      <selection activeCell="A1" sqref="A1"/>
    </sheetView>
  </sheetViews>
  <sheetFormatPr defaultColWidth="9.00390625" defaultRowHeight="13.5"/>
  <cols>
    <col min="1" max="1" width="4.50390625" style="39" bestFit="1" customWidth="1"/>
    <col min="2" max="2" width="2.625" style="39" bestFit="1" customWidth="1"/>
    <col min="3" max="3" width="2.125" style="39" bestFit="1" customWidth="1"/>
    <col min="4" max="4" width="7.00390625" style="39" bestFit="1" customWidth="1"/>
    <col min="5" max="5" width="2.00390625" style="39" bestFit="1" customWidth="1"/>
    <col min="6" max="6" width="7.00390625" style="39" bestFit="1" customWidth="1"/>
    <col min="7" max="7" width="2.00390625" style="39" customWidth="1"/>
    <col min="8" max="8" width="7.00390625" style="39" customWidth="1"/>
    <col min="9" max="9" width="2.125" style="39" bestFit="1" customWidth="1"/>
    <col min="10" max="10" width="4.125" style="39" bestFit="1" customWidth="1"/>
    <col min="11" max="11" width="8.125" style="39" bestFit="1" customWidth="1"/>
    <col min="12" max="23" width="9.625" style="39" bestFit="1" customWidth="1"/>
    <col min="24" max="16384" width="9.00390625" style="39" customWidth="1"/>
  </cols>
  <sheetData>
    <row r="1" ht="12">
      <c r="A1" s="38" t="s">
        <v>183</v>
      </c>
    </row>
    <row r="2" spans="10:11" ht="10.5">
      <c r="J2" s="40"/>
      <c r="K2" s="40"/>
    </row>
    <row r="3" spans="1:11" ht="10.5">
      <c r="A3" s="39" t="s">
        <v>184</v>
      </c>
      <c r="B3" s="41" t="s">
        <v>185</v>
      </c>
      <c r="C3" s="42" t="s">
        <v>186</v>
      </c>
      <c r="D3" s="43">
        <f>+TR!E17</f>
        <v>0</v>
      </c>
      <c r="E3" s="43" t="s">
        <v>187</v>
      </c>
      <c r="F3" s="43">
        <f>+TR!G17</f>
        <v>82</v>
      </c>
      <c r="G3" s="43" t="s">
        <v>187</v>
      </c>
      <c r="H3" s="43">
        <f>+TR!I17</f>
        <v>0</v>
      </c>
      <c r="I3" s="44" t="s">
        <v>188</v>
      </c>
      <c r="J3" s="40"/>
      <c r="K3" s="40"/>
    </row>
    <row r="4" spans="1:11" ht="12">
      <c r="A4" s="39" t="s">
        <v>189</v>
      </c>
      <c r="B4" s="41" t="s">
        <v>185</v>
      </c>
      <c r="C4" s="42" t="s">
        <v>186</v>
      </c>
      <c r="D4" s="43">
        <f>+TR!E74</f>
        <v>-4</v>
      </c>
      <c r="E4" s="41" t="s">
        <v>187</v>
      </c>
      <c r="F4" s="43">
        <f>+TR!G74</f>
        <v>70</v>
      </c>
      <c r="G4" s="41" t="s">
        <v>187</v>
      </c>
      <c r="H4" s="43">
        <f>+TR!I74</f>
        <v>-23.2</v>
      </c>
      <c r="I4" s="44" t="s">
        <v>188</v>
      </c>
      <c r="J4" s="40"/>
      <c r="K4" s="40"/>
    </row>
    <row r="5" spans="1:11" ht="12">
      <c r="A5" s="39" t="s">
        <v>190</v>
      </c>
      <c r="B5" s="41" t="s">
        <v>185</v>
      </c>
      <c r="C5" s="42" t="s">
        <v>186</v>
      </c>
      <c r="D5" s="43">
        <f>+TR!E78</f>
        <v>9.70394329182302</v>
      </c>
      <c r="E5" s="41" t="s">
        <v>187</v>
      </c>
      <c r="F5" s="43">
        <f>+TR!G78</f>
        <v>70</v>
      </c>
      <c r="G5" s="41" t="s">
        <v>187</v>
      </c>
      <c r="H5" s="43">
        <f>+TR!I78</f>
        <v>-21.449323639431686</v>
      </c>
      <c r="I5" s="44" t="s">
        <v>188</v>
      </c>
      <c r="J5" s="40"/>
      <c r="K5" s="40"/>
    </row>
    <row r="6" spans="1:11" ht="12">
      <c r="A6" s="45" t="s">
        <v>191</v>
      </c>
      <c r="B6" s="46" t="s">
        <v>185</v>
      </c>
      <c r="C6" s="47" t="s">
        <v>186</v>
      </c>
      <c r="D6" s="48">
        <f>+W43</f>
        <v>-29.786283140176952</v>
      </c>
      <c r="E6" s="46" t="s">
        <v>187</v>
      </c>
      <c r="F6" s="48">
        <f>+W41</f>
        <v>75.83232941910937</v>
      </c>
      <c r="G6" s="48"/>
      <c r="H6" s="48">
        <f>+TR!I87</f>
        <v>-24</v>
      </c>
      <c r="I6" s="49" t="s">
        <v>188</v>
      </c>
      <c r="J6" s="40"/>
      <c r="K6" s="40"/>
    </row>
    <row r="7" spans="1:11" ht="12">
      <c r="A7" s="39" t="s">
        <v>192</v>
      </c>
      <c r="B7" s="41" t="s">
        <v>185</v>
      </c>
      <c r="C7" s="42" t="s">
        <v>186</v>
      </c>
      <c r="D7" s="43">
        <f>+TR!E93</f>
        <v>-50</v>
      </c>
      <c r="E7" s="41" t="s">
        <v>187</v>
      </c>
      <c r="F7" s="43">
        <f>+TR!G93</f>
        <v>98</v>
      </c>
      <c r="G7" s="41" t="s">
        <v>187</v>
      </c>
      <c r="H7" s="43">
        <f>+TR!I93</f>
        <v>-24</v>
      </c>
      <c r="I7" s="44" t="s">
        <v>188</v>
      </c>
      <c r="J7" s="40"/>
      <c r="K7" s="40"/>
    </row>
    <row r="8" spans="1:11" ht="12.75">
      <c r="A8" s="6"/>
      <c r="B8" s="41"/>
      <c r="C8" s="42"/>
      <c r="D8" s="43"/>
      <c r="E8" s="41"/>
      <c r="F8" s="43"/>
      <c r="G8" s="43"/>
      <c r="H8" s="43"/>
      <c r="I8" s="44"/>
      <c r="J8" s="40"/>
      <c r="K8" s="40"/>
    </row>
    <row r="9" spans="1:11" ht="12">
      <c r="A9" s="40" t="s">
        <v>193</v>
      </c>
      <c r="B9" s="41" t="s">
        <v>185</v>
      </c>
      <c r="D9" s="50">
        <f>+TR!E67</f>
        <v>23.54230235129946</v>
      </c>
      <c r="J9" s="40"/>
      <c r="K9" s="40"/>
    </row>
    <row r="10" spans="1:4" ht="12">
      <c r="A10" s="40" t="s">
        <v>194</v>
      </c>
      <c r="B10" s="41" t="s">
        <v>185</v>
      </c>
      <c r="D10" s="50">
        <f>+TR!E81</f>
        <v>40</v>
      </c>
    </row>
    <row r="11" spans="1:4" ht="12">
      <c r="A11" s="40" t="s">
        <v>195</v>
      </c>
      <c r="B11" s="41" t="s">
        <v>185</v>
      </c>
      <c r="D11" s="50">
        <f>+TR!E90</f>
        <v>30</v>
      </c>
    </row>
    <row r="12" spans="1:4" ht="10.5">
      <c r="A12" s="52" t="s">
        <v>196</v>
      </c>
      <c r="B12" s="41" t="s">
        <v>185</v>
      </c>
      <c r="D12" s="53">
        <f>+TR!E3</f>
        <v>-39</v>
      </c>
    </row>
    <row r="13" spans="12:22" ht="10.5">
      <c r="L13" s="41">
        <v>0</v>
      </c>
      <c r="M13" s="41">
        <v>1</v>
      </c>
      <c r="N13" s="41">
        <v>2</v>
      </c>
      <c r="O13" s="41">
        <v>3</v>
      </c>
      <c r="P13" s="41">
        <v>4</v>
      </c>
      <c r="Q13" s="41">
        <v>5</v>
      </c>
      <c r="R13" s="41">
        <v>6</v>
      </c>
      <c r="S13" s="41">
        <v>7</v>
      </c>
      <c r="T13" s="41">
        <v>8</v>
      </c>
      <c r="U13" s="41">
        <v>9</v>
      </c>
      <c r="V13" s="41">
        <v>10</v>
      </c>
    </row>
    <row r="14" spans="10:23" ht="10.5">
      <c r="J14" s="54" t="s">
        <v>197</v>
      </c>
      <c r="K14" s="55"/>
      <c r="L14" s="55">
        <f aca="true" t="shared" si="0" ref="L14:V14">IF($D$10^2-($D$5-L16)^2-($H$5-$H$6)^2&lt;0,0,IF($D$12&gt;0,-1,1)*SQRT($D$10^2-($D$5-L16)^2-($H$5-$H$6)^2)+$F$5)</f>
        <v>0</v>
      </c>
      <c r="M14" s="55">
        <f t="shared" si="0"/>
        <v>75.76576535280772</v>
      </c>
      <c r="N14" s="55">
        <f t="shared" si="0"/>
        <v>78.51434378584973</v>
      </c>
      <c r="O14" s="55">
        <f t="shared" si="0"/>
        <v>80.54722949895555</v>
      </c>
      <c r="P14" s="55">
        <f t="shared" si="0"/>
        <v>82.22677594886068</v>
      </c>
      <c r="Q14" s="55">
        <f t="shared" si="0"/>
        <v>83.68371477719548</v>
      </c>
      <c r="R14" s="55">
        <f t="shared" si="0"/>
        <v>84.98312551184291</v>
      </c>
      <c r="S14" s="55">
        <f t="shared" si="0"/>
        <v>86.16304581765571</v>
      </c>
      <c r="T14" s="55">
        <f t="shared" si="0"/>
        <v>87.24801583091916</v>
      </c>
      <c r="U14" s="55">
        <f t="shared" si="0"/>
        <v>88.25497329780677</v>
      </c>
      <c r="V14" s="55">
        <f t="shared" si="0"/>
        <v>89.19619884517864</v>
      </c>
      <c r="W14" s="65">
        <f>IF($D$12&gt;0,-1,1)*SQRT($D$10^2-($D$5-W16)^2-($H$5-$H$6)^2)+$F$5</f>
        <v>75.76576535280772</v>
      </c>
    </row>
    <row r="15" spans="10:23" ht="10.5">
      <c r="J15" s="57"/>
      <c r="K15" s="58"/>
      <c r="L15" s="58">
        <f aca="true" t="shared" si="1" ref="L15:V15">IF($D$10^2-($D$5-L16)^2-($H$5-$H$6)^2&lt;0,$D$11,ABS(SQRT((L16-$D$7)^2+(L14-$F$7)^2+($H$6-$H$7)^2)-$D$11))</f>
        <v>30</v>
      </c>
      <c r="M15" s="58">
        <f t="shared" si="1"/>
        <v>0.04264493824746651</v>
      </c>
      <c r="N15" s="58">
        <f t="shared" si="1"/>
        <v>1.5686077385036192</v>
      </c>
      <c r="O15" s="58">
        <f t="shared" si="1"/>
        <v>2.5371813302972512</v>
      </c>
      <c r="P15" s="58">
        <f t="shared" si="1"/>
        <v>3.1698723189376246</v>
      </c>
      <c r="Q15" s="58">
        <f t="shared" si="1"/>
        <v>3.580856935033193</v>
      </c>
      <c r="R15" s="58">
        <f t="shared" si="1"/>
        <v>3.829251779157129</v>
      </c>
      <c r="S15" s="58">
        <f t="shared" si="1"/>
        <v>3.9512674280483218</v>
      </c>
      <c r="T15" s="58">
        <f t="shared" si="1"/>
        <v>3.971513852048048</v>
      </c>
      <c r="U15" s="58">
        <f t="shared" si="1"/>
        <v>3.9079242623312247</v>
      </c>
      <c r="V15" s="58">
        <f t="shared" si="1"/>
        <v>3.7742163331723972</v>
      </c>
      <c r="W15" s="73">
        <f>MIN(L15:V15)</f>
        <v>0.04264493824746651</v>
      </c>
    </row>
    <row r="16" spans="10:23" ht="10.5">
      <c r="J16" s="60" t="s">
        <v>198</v>
      </c>
      <c r="K16" s="61">
        <f>($V16-$L16)/10</f>
        <v>0.5</v>
      </c>
      <c r="L16" s="62">
        <f>+D5-D10</f>
        <v>-30.29605670817698</v>
      </c>
      <c r="M16" s="61">
        <f aca="true" t="shared" si="2" ref="M16:U16">+L16+$K16</f>
        <v>-29.79605670817698</v>
      </c>
      <c r="N16" s="61">
        <f t="shared" si="2"/>
        <v>-29.29605670817698</v>
      </c>
      <c r="O16" s="61">
        <f t="shared" si="2"/>
        <v>-28.79605670817698</v>
      </c>
      <c r="P16" s="61">
        <f t="shared" si="2"/>
        <v>-28.29605670817698</v>
      </c>
      <c r="Q16" s="61">
        <f t="shared" si="2"/>
        <v>-27.79605670817698</v>
      </c>
      <c r="R16" s="61">
        <f t="shared" si="2"/>
        <v>-27.29605670817698</v>
      </c>
      <c r="S16" s="61">
        <f t="shared" si="2"/>
        <v>-26.79605670817698</v>
      </c>
      <c r="T16" s="61">
        <f t="shared" si="2"/>
        <v>-26.29605670817698</v>
      </c>
      <c r="U16" s="61">
        <f t="shared" si="2"/>
        <v>-25.79605670817698</v>
      </c>
      <c r="V16" s="62">
        <f>+D5-D10+5</f>
        <v>-25.29605670817698</v>
      </c>
      <c r="W16" s="61">
        <f>HLOOKUP(W15,L15:V16,2,FALSE)</f>
        <v>-29.79605670817698</v>
      </c>
    </row>
    <row r="17" spans="10:23" ht="10.5">
      <c r="J17" s="54" t="s">
        <v>199</v>
      </c>
      <c r="K17" s="55"/>
      <c r="L17" s="55">
        <f aca="true" t="shared" si="3" ref="L17:V17">IF($D$10^2-($D$5-L19)^2-($H$5-$H$6)^2&lt;0,0,IF($D$12&gt;0,-1,1)*SQRT($D$10^2-($D$5-L19)^2-($H$5-$H$6)^2)+$F$5)</f>
        <v>0</v>
      </c>
      <c r="M17" s="55">
        <f t="shared" si="3"/>
        <v>71.2182159511507</v>
      </c>
      <c r="N17" s="55">
        <f t="shared" si="3"/>
        <v>73.0747439086269</v>
      </c>
      <c r="O17" s="55">
        <f t="shared" si="3"/>
        <v>74.17181616369157</v>
      </c>
      <c r="P17" s="55">
        <f t="shared" si="3"/>
        <v>75.03329416025313</v>
      </c>
      <c r="Q17" s="55">
        <f t="shared" si="3"/>
        <v>75.76576535280776</v>
      </c>
      <c r="R17" s="55">
        <f t="shared" si="3"/>
        <v>76.41358324991879</v>
      </c>
      <c r="S17" s="55">
        <f t="shared" si="3"/>
        <v>77.0002892871394</v>
      </c>
      <c r="T17" s="55">
        <f t="shared" si="3"/>
        <v>77.54016247196563</v>
      </c>
      <c r="U17" s="55">
        <f t="shared" si="3"/>
        <v>78.04263949855014</v>
      </c>
      <c r="V17" s="55">
        <f t="shared" si="3"/>
        <v>78.51434378584973</v>
      </c>
      <c r="W17" s="65">
        <f>IF($D$12&gt;0,-1,1)*SQRT($D$10^2-($D$5-W19)^2-($H$5-$H$6)^2)+$F$5</f>
        <v>75.76576535280776</v>
      </c>
    </row>
    <row r="18" spans="10:23" ht="10.5">
      <c r="J18" s="57"/>
      <c r="K18" s="58"/>
      <c r="L18" s="58">
        <f aca="true" t="shared" si="4" ref="L18:V18">IF($D$10^2-($D$5-L19)^2-($H$5-$H$6)^2&lt;0,$D$11,ABS(SQRT((L19-$D$7)^2+(L17-$F$7)^2+($H$6-$H$7)^2)-$D$11))</f>
        <v>30</v>
      </c>
      <c r="M18" s="58">
        <f t="shared" si="4"/>
        <v>3.3085593615956483</v>
      </c>
      <c r="N18" s="58">
        <f t="shared" si="4"/>
        <v>1.8972624183430291</v>
      </c>
      <c r="O18" s="58">
        <f t="shared" si="4"/>
        <v>1.111735601849368</v>
      </c>
      <c r="P18" s="58">
        <f t="shared" si="4"/>
        <v>0.5227474682456936</v>
      </c>
      <c r="Q18" s="58">
        <f t="shared" si="4"/>
        <v>0.04264493824743809</v>
      </c>
      <c r="R18" s="58">
        <f t="shared" si="4"/>
        <v>0.3651640580591007</v>
      </c>
      <c r="S18" s="58">
        <f t="shared" si="4"/>
        <v>0.7201647566151337</v>
      </c>
      <c r="T18" s="58">
        <f t="shared" si="4"/>
        <v>1.0342160094386834</v>
      </c>
      <c r="U18" s="58">
        <f t="shared" si="4"/>
        <v>1.3151831562847498</v>
      </c>
      <c r="V18" s="58">
        <f t="shared" si="4"/>
        <v>1.5686077385036192</v>
      </c>
      <c r="W18" s="73">
        <f>MIN(L18:V18)</f>
        <v>0.04264493824743809</v>
      </c>
    </row>
    <row r="19" spans="10:23" ht="10.5">
      <c r="J19" s="60" t="s">
        <v>200</v>
      </c>
      <c r="K19" s="61">
        <f>($V19-$L19)/10</f>
        <v>0.1</v>
      </c>
      <c r="L19" s="61">
        <f>+$W16-$K16</f>
        <v>-30.29605670817698</v>
      </c>
      <c r="M19" s="61">
        <f aca="true" t="shared" si="5" ref="M19:U19">+L19+$K19</f>
        <v>-30.19605670817698</v>
      </c>
      <c r="N19" s="61">
        <f t="shared" si="5"/>
        <v>-30.096056708176977</v>
      </c>
      <c r="O19" s="61">
        <f t="shared" si="5"/>
        <v>-29.996056708176976</v>
      </c>
      <c r="P19" s="61">
        <f t="shared" si="5"/>
        <v>-29.896056708176975</v>
      </c>
      <c r="Q19" s="61">
        <f t="shared" si="5"/>
        <v>-29.796056708176973</v>
      </c>
      <c r="R19" s="61">
        <f t="shared" si="5"/>
        <v>-29.69605670817697</v>
      </c>
      <c r="S19" s="61">
        <f t="shared" si="5"/>
        <v>-29.59605670817697</v>
      </c>
      <c r="T19" s="61">
        <f t="shared" si="5"/>
        <v>-29.49605670817697</v>
      </c>
      <c r="U19" s="61">
        <f t="shared" si="5"/>
        <v>-29.396056708176967</v>
      </c>
      <c r="V19" s="61">
        <f>+$W16+$K16</f>
        <v>-29.29605670817698</v>
      </c>
      <c r="W19" s="61">
        <f>HLOOKUP(W18,L18:V19,2,FALSE)</f>
        <v>-29.796056708176973</v>
      </c>
    </row>
    <row r="20" spans="10:23" ht="10.5">
      <c r="J20" s="54" t="s">
        <v>199</v>
      </c>
      <c r="K20" s="55"/>
      <c r="L20" s="55">
        <f aca="true" t="shared" si="6" ref="L20:V20">IF($D$10^2-($D$5-L22)^2-($H$5-$H$6)^2&lt;0,0,IF($D$12&gt;0,-1,1)*SQRT($D$10^2-($D$5-L22)^2-($H$5-$H$6)^2)+$F$5)</f>
        <v>75.03329416025313</v>
      </c>
      <c r="M20" s="55">
        <f t="shared" si="6"/>
        <v>75.18822224886695</v>
      </c>
      <c r="N20" s="55">
        <f t="shared" si="6"/>
        <v>75.33858128191736</v>
      </c>
      <c r="O20" s="55">
        <f t="shared" si="6"/>
        <v>75.48474704098909</v>
      </c>
      <c r="P20" s="55">
        <f t="shared" si="6"/>
        <v>75.6270463036693</v>
      </c>
      <c r="Q20" s="55">
        <f t="shared" si="6"/>
        <v>75.76576535280772</v>
      </c>
      <c r="R20" s="55">
        <f t="shared" si="6"/>
        <v>75.9011566750628</v>
      </c>
      <c r="S20" s="55">
        <f t="shared" si="6"/>
        <v>76.03344429854444</v>
      </c>
      <c r="T20" s="55">
        <f t="shared" si="6"/>
        <v>76.16282809298119</v>
      </c>
      <c r="U20" s="55">
        <f t="shared" si="6"/>
        <v>76.28948726873963</v>
      </c>
      <c r="V20" s="55">
        <f t="shared" si="6"/>
        <v>76.41358324991879</v>
      </c>
      <c r="W20" s="65">
        <f>IF($D$12&gt;0,-1,1)*SQRT($D$10^2-($D$5-W22)^2-($H$5-$H$6)^2)+$F$5</f>
        <v>75.76576535280772</v>
      </c>
    </row>
    <row r="21" spans="10:23" ht="10.5">
      <c r="J21" s="57"/>
      <c r="K21" s="58"/>
      <c r="L21" s="58">
        <f aca="true" t="shared" si="7" ref="L21:V21">IF($D$10^2-($D$5-L22)^2-($H$5-$H$6)^2&lt;0,$D$11,ABS(SQRT((L22-$D$7)^2+(L20-$F$7)^2+($H$6-$H$7)^2)-$D$11))</f>
        <v>0.5227474682456936</v>
      </c>
      <c r="M21" s="58">
        <f t="shared" si="7"/>
        <v>0.4195709663959235</v>
      </c>
      <c r="N21" s="58">
        <f t="shared" si="7"/>
        <v>0.3202630209641839</v>
      </c>
      <c r="O21" s="58">
        <f t="shared" si="7"/>
        <v>0.22451364181240407</v>
      </c>
      <c r="P21" s="58">
        <f t="shared" si="7"/>
        <v>0.13205309808286358</v>
      </c>
      <c r="Q21" s="58">
        <f t="shared" si="7"/>
        <v>0.04264493824746651</v>
      </c>
      <c r="R21" s="58">
        <f t="shared" si="7"/>
        <v>0.043919505866671926</v>
      </c>
      <c r="S21" s="58">
        <f t="shared" si="7"/>
        <v>0.1278254995104824</v>
      </c>
      <c r="T21" s="58">
        <f t="shared" si="7"/>
        <v>0.20923843486187366</v>
      </c>
      <c r="U21" s="58">
        <f t="shared" si="7"/>
        <v>0.28830670392361313</v>
      </c>
      <c r="V21" s="58">
        <f t="shared" si="7"/>
        <v>0.3651640580591007</v>
      </c>
      <c r="W21" s="73">
        <f>MIN(L21:V21)</f>
        <v>0.04264493824746651</v>
      </c>
    </row>
    <row r="22" spans="10:23" ht="10.5">
      <c r="J22" s="60" t="s">
        <v>200</v>
      </c>
      <c r="K22" s="61">
        <f>($V22-$L22)/10</f>
        <v>0.020000000000000285</v>
      </c>
      <c r="L22" s="61">
        <f>+$W19-$K19</f>
        <v>-29.896056708176975</v>
      </c>
      <c r="M22" s="61">
        <f aca="true" t="shared" si="8" ref="M22:U22">+L22+$K22</f>
        <v>-29.876056708176975</v>
      </c>
      <c r="N22" s="61">
        <f t="shared" si="8"/>
        <v>-29.856056708176975</v>
      </c>
      <c r="O22" s="61">
        <f t="shared" si="8"/>
        <v>-29.836056708176976</v>
      </c>
      <c r="P22" s="61">
        <f t="shared" si="8"/>
        <v>-29.816056708176976</v>
      </c>
      <c r="Q22" s="61">
        <f t="shared" si="8"/>
        <v>-29.796056708176977</v>
      </c>
      <c r="R22" s="61">
        <f t="shared" si="8"/>
        <v>-29.776056708176977</v>
      </c>
      <c r="S22" s="61">
        <f t="shared" si="8"/>
        <v>-29.756056708176978</v>
      </c>
      <c r="T22" s="61">
        <f t="shared" si="8"/>
        <v>-29.736056708176978</v>
      </c>
      <c r="U22" s="61">
        <f t="shared" si="8"/>
        <v>-29.71605670817698</v>
      </c>
      <c r="V22" s="61">
        <f>+$W19+$K19</f>
        <v>-29.69605670817697</v>
      </c>
      <c r="W22" s="61">
        <f>HLOOKUP(W21,L21:V22,2,FALSE)</f>
        <v>-29.796056708176977</v>
      </c>
    </row>
    <row r="23" spans="10:23" ht="10.5">
      <c r="J23" s="54" t="s">
        <v>199</v>
      </c>
      <c r="K23" s="55"/>
      <c r="L23" s="55">
        <f aca="true" t="shared" si="9" ref="L23:V23">IF($D$10^2-($D$5-L25)^2-($H$5-$H$6)^2&lt;0,0,IF($D$12&gt;0,-1,1)*SQRT($D$10^2-($D$5-L25)^2-($H$5-$H$6)^2)+$F$5)</f>
        <v>75.6270463036693</v>
      </c>
      <c r="M23" s="55">
        <f t="shared" si="9"/>
        <v>75.65506800168122</v>
      </c>
      <c r="N23" s="55">
        <f t="shared" si="9"/>
        <v>75.68294871555591</v>
      </c>
      <c r="O23" s="55">
        <f t="shared" si="9"/>
        <v>75.71069051023065</v>
      </c>
      <c r="P23" s="55">
        <f t="shared" si="9"/>
        <v>75.73829540052084</v>
      </c>
      <c r="Q23" s="55">
        <f t="shared" si="9"/>
        <v>75.76576535280782</v>
      </c>
      <c r="R23" s="55">
        <f t="shared" si="9"/>
        <v>75.79310228665427</v>
      </c>
      <c r="S23" s="55">
        <f t="shared" si="9"/>
        <v>75.82030807635117</v>
      </c>
      <c r="T23" s="55">
        <f t="shared" si="9"/>
        <v>75.8473845523994</v>
      </c>
      <c r="U23" s="55">
        <f t="shared" si="9"/>
        <v>75.87433350292946</v>
      </c>
      <c r="V23" s="55">
        <f t="shared" si="9"/>
        <v>75.9011566750628</v>
      </c>
      <c r="W23" s="65">
        <f>IF($D$12&gt;0,-1,1)*SQRT($D$10^2-($D$5-W25)^2-($H$5-$H$6)^2)+$F$5</f>
        <v>75.82030807635117</v>
      </c>
    </row>
    <row r="24" spans="10:23" ht="10.5">
      <c r="J24" s="57"/>
      <c r="K24" s="58"/>
      <c r="L24" s="58">
        <f aca="true" t="shared" si="10" ref="L24:V24">IF($D$10^2-($D$5-L25)^2-($H$5-$H$6)^2&lt;0,$D$11,ABS(SQRT((L25-$D$7)^2+(L23-$F$7)^2+($H$6-$H$7)^2)-$D$11))</f>
        <v>0.13205309808286358</v>
      </c>
      <c r="M24" s="58">
        <f t="shared" si="10"/>
        <v>0.11393432222619637</v>
      </c>
      <c r="N24" s="58">
        <f t="shared" si="10"/>
        <v>0.09593580423616999</v>
      </c>
      <c r="O24" s="58">
        <f t="shared" si="10"/>
        <v>0.0780558377241789</v>
      </c>
      <c r="P24" s="58">
        <f t="shared" si="10"/>
        <v>0.06029275751215479</v>
      </c>
      <c r="Q24" s="58">
        <f t="shared" si="10"/>
        <v>0.04264493824739901</v>
      </c>
      <c r="R24" s="58">
        <f t="shared" si="10"/>
        <v>0.02511079307677022</v>
      </c>
      <c r="S24" s="58">
        <f t="shared" si="10"/>
        <v>0.0076887723770440175</v>
      </c>
      <c r="T24" s="58">
        <f t="shared" si="10"/>
        <v>0.009622637461241368</v>
      </c>
      <c r="U24" s="58">
        <f t="shared" si="10"/>
        <v>0.02682491519910357</v>
      </c>
      <c r="V24" s="58">
        <f t="shared" si="10"/>
        <v>0.043919505866671926</v>
      </c>
      <c r="W24" s="73">
        <f>MIN(L24:V24)</f>
        <v>0.0076887723770440175</v>
      </c>
    </row>
    <row r="25" spans="10:23" ht="10.5">
      <c r="J25" s="60" t="s">
        <v>200</v>
      </c>
      <c r="K25" s="61">
        <f>($V25-$L25)/10</f>
        <v>0.003999999999999915</v>
      </c>
      <c r="L25" s="61">
        <f>+$W22-$K22</f>
        <v>-29.816056708176976</v>
      </c>
      <c r="M25" s="61">
        <f aca="true" t="shared" si="11" ref="M25:U25">+L25+$K25</f>
        <v>-29.812056708176975</v>
      </c>
      <c r="N25" s="61">
        <f t="shared" si="11"/>
        <v>-29.808056708176974</v>
      </c>
      <c r="O25" s="61">
        <f t="shared" si="11"/>
        <v>-29.804056708176972</v>
      </c>
      <c r="P25" s="61">
        <f t="shared" si="11"/>
        <v>-29.80005670817697</v>
      </c>
      <c r="Q25" s="61">
        <f t="shared" si="11"/>
        <v>-29.79605670817697</v>
      </c>
      <c r="R25" s="61">
        <f t="shared" si="11"/>
        <v>-29.79205670817697</v>
      </c>
      <c r="S25" s="61">
        <f t="shared" si="11"/>
        <v>-29.788056708176967</v>
      </c>
      <c r="T25" s="61">
        <f t="shared" si="11"/>
        <v>-29.784056708176966</v>
      </c>
      <c r="U25" s="61">
        <f t="shared" si="11"/>
        <v>-29.780056708176964</v>
      </c>
      <c r="V25" s="61">
        <f>+$W22+$K22</f>
        <v>-29.776056708176977</v>
      </c>
      <c r="W25" s="61">
        <f>HLOOKUP(W24,L24:V25,2,FALSE)</f>
        <v>-29.788056708176967</v>
      </c>
    </row>
    <row r="26" spans="10:23" ht="10.5">
      <c r="J26" s="54" t="s">
        <v>199</v>
      </c>
      <c r="K26" s="55"/>
      <c r="L26" s="55">
        <f aca="true" t="shared" si="12" ref="L26:V26">IF($D$10^2-($D$5-L28)^2-($H$5-$H$6)^2&lt;0,0,IF($D$12&gt;0,-1,1)*SQRT($D$10^2-($D$5-L28)^2-($H$5-$H$6)^2)+$F$5)</f>
        <v>75.79310228665427</v>
      </c>
      <c r="M26" s="55">
        <f t="shared" si="12"/>
        <v>75.79855387692822</v>
      </c>
      <c r="N26" s="55">
        <f t="shared" si="12"/>
        <v>75.80400023635761</v>
      </c>
      <c r="O26" s="55">
        <f t="shared" si="12"/>
        <v>75.80944137965425</v>
      </c>
      <c r="P26" s="55">
        <f t="shared" si="12"/>
        <v>75.81487732146083</v>
      </c>
      <c r="Q26" s="55">
        <f t="shared" si="12"/>
        <v>75.82030807635127</v>
      </c>
      <c r="R26" s="55">
        <f t="shared" si="12"/>
        <v>75.82573365883128</v>
      </c>
      <c r="S26" s="55">
        <f t="shared" si="12"/>
        <v>75.83115408333887</v>
      </c>
      <c r="T26" s="55">
        <f t="shared" si="12"/>
        <v>75.83656936424471</v>
      </c>
      <c r="U26" s="55">
        <f t="shared" si="12"/>
        <v>75.84197951585251</v>
      </c>
      <c r="V26" s="55">
        <f t="shared" si="12"/>
        <v>75.8473845523994</v>
      </c>
      <c r="W26" s="65">
        <f>IF($D$12&gt;0,-1,1)*SQRT($D$10^2-($D$5-W28)^2-($H$5-$H$6)^2)+$F$5</f>
        <v>75.83115408333887</v>
      </c>
    </row>
    <row r="27" spans="10:23" ht="10.5">
      <c r="J27" s="57"/>
      <c r="K27" s="58"/>
      <c r="L27" s="58">
        <f aca="true" t="shared" si="13" ref="L27:V27">IF($D$10^2-($D$5-L28)^2-($H$5-$H$6)^2&lt;0,$D$11,ABS(SQRT((L28-$D$7)^2+(L26-$F$7)^2+($H$6-$H$7)^2)-$D$11))</f>
        <v>0.02511079307677022</v>
      </c>
      <c r="M27" s="58">
        <f t="shared" si="13"/>
        <v>0.021617467925697298</v>
      </c>
      <c r="N27" s="58">
        <f t="shared" si="13"/>
        <v>0.018128615416426186</v>
      </c>
      <c r="O27" s="58">
        <f t="shared" si="13"/>
        <v>0.014644223384319588</v>
      </c>
      <c r="P27" s="58">
        <f t="shared" si="13"/>
        <v>0.011164279721580073</v>
      </c>
      <c r="Q27" s="58">
        <f t="shared" si="13"/>
        <v>0.007688772376976516</v>
      </c>
      <c r="R27" s="58">
        <f t="shared" si="13"/>
        <v>0.0042176893553644845</v>
      </c>
      <c r="S27" s="58">
        <f t="shared" si="13"/>
        <v>0.0007510187172989902</v>
      </c>
      <c r="T27" s="58">
        <f t="shared" si="13"/>
        <v>0.002711251421278149</v>
      </c>
      <c r="U27" s="58">
        <f t="shared" si="13"/>
        <v>0.0061691328893793695</v>
      </c>
      <c r="V27" s="58">
        <f t="shared" si="13"/>
        <v>0.009622637461241368</v>
      </c>
      <c r="W27" s="73">
        <f>MIN(L27:V27)</f>
        <v>0.0007510187172989902</v>
      </c>
    </row>
    <row r="28" spans="10:23" ht="10.5">
      <c r="J28" s="60" t="s">
        <v>200</v>
      </c>
      <c r="K28" s="61">
        <f>($V28-$L28)/10</f>
        <v>0.0008000000000002672</v>
      </c>
      <c r="L28" s="61">
        <f>+$W25-$K25</f>
        <v>-29.79205670817697</v>
      </c>
      <c r="M28" s="61">
        <f aca="true" t="shared" si="14" ref="M28:U28">+L28+$K28</f>
        <v>-29.791256708176967</v>
      </c>
      <c r="N28" s="61">
        <f t="shared" si="14"/>
        <v>-29.790456708176965</v>
      </c>
      <c r="O28" s="61">
        <f t="shared" si="14"/>
        <v>-29.789656708176963</v>
      </c>
      <c r="P28" s="61">
        <f t="shared" si="14"/>
        <v>-29.78885670817696</v>
      </c>
      <c r="Q28" s="61">
        <f t="shared" si="14"/>
        <v>-29.78805670817696</v>
      </c>
      <c r="R28" s="61">
        <f t="shared" si="14"/>
        <v>-29.787256708176958</v>
      </c>
      <c r="S28" s="61">
        <f t="shared" si="14"/>
        <v>-29.786456708176956</v>
      </c>
      <c r="T28" s="61">
        <f t="shared" si="14"/>
        <v>-29.785656708176955</v>
      </c>
      <c r="U28" s="61">
        <f t="shared" si="14"/>
        <v>-29.784856708176953</v>
      </c>
      <c r="V28" s="61">
        <f>+$W25+$K25</f>
        <v>-29.784056708176966</v>
      </c>
      <c r="W28" s="61">
        <f>HLOOKUP(W27,L27:V28,2,FALSE)</f>
        <v>-29.786456708176956</v>
      </c>
    </row>
    <row r="29" spans="10:23" ht="10.5">
      <c r="J29" s="54" t="s">
        <v>199</v>
      </c>
      <c r="K29" s="55"/>
      <c r="L29" s="55">
        <f aca="true" t="shared" si="15" ref="L29:V29">IF($D$10^2-($D$5-L31)^2-($H$5-$H$6)^2&lt;0,0,IF($D$12&gt;0,-1,1)*SQRT($D$10^2-($D$5-L31)^2-($H$5-$H$6)^2)+$F$5)</f>
        <v>75.82573365883128</v>
      </c>
      <c r="M29" s="55">
        <f t="shared" si="15"/>
        <v>75.82681815590978</v>
      </c>
      <c r="N29" s="55">
        <f t="shared" si="15"/>
        <v>75.82790244678478</v>
      </c>
      <c r="O29" s="55">
        <f t="shared" si="15"/>
        <v>75.82898653157133</v>
      </c>
      <c r="P29" s="55">
        <f t="shared" si="15"/>
        <v>75.83007041038442</v>
      </c>
      <c r="Q29" s="55">
        <f t="shared" si="15"/>
        <v>75.83115408333892</v>
      </c>
      <c r="R29" s="55">
        <f t="shared" si="15"/>
        <v>75.83223755054955</v>
      </c>
      <c r="S29" s="55">
        <f t="shared" si="15"/>
        <v>75.83332081213096</v>
      </c>
      <c r="T29" s="55">
        <f t="shared" si="15"/>
        <v>75.83440386819771</v>
      </c>
      <c r="U29" s="55">
        <f t="shared" si="15"/>
        <v>75.8354867188642</v>
      </c>
      <c r="V29" s="55">
        <f t="shared" si="15"/>
        <v>75.83656936424471</v>
      </c>
      <c r="W29" s="65">
        <f>IF($D$12&gt;0,-1,1)*SQRT($D$10^2-($D$5-W31)^2-($H$5-$H$6)^2)+$F$5</f>
        <v>75.83223755054955</v>
      </c>
    </row>
    <row r="30" spans="10:23" ht="10.5">
      <c r="J30" s="57"/>
      <c r="K30" s="58"/>
      <c r="L30" s="58">
        <f aca="true" t="shared" si="16" ref="L30:V30">IF($D$10^2-($D$5-L31)^2-($H$5-$H$6)^2&lt;0,$D$11,ABS(SQRT((L31-$D$7)^2+(L29-$F$7)^2+($H$6-$H$7)^2)-$D$11))</f>
        <v>0.0042176893553644845</v>
      </c>
      <c r="M30" s="58">
        <f t="shared" si="16"/>
        <v>0.0035240026181426742</v>
      </c>
      <c r="N30" s="58">
        <f t="shared" si="16"/>
        <v>0.0028304922808359834</v>
      </c>
      <c r="O30" s="58">
        <f t="shared" si="16"/>
        <v>0.002137158248295634</v>
      </c>
      <c r="P30" s="58">
        <f t="shared" si="16"/>
        <v>0.0014440004254367977</v>
      </c>
      <c r="Q30" s="58">
        <f t="shared" si="16"/>
        <v>0.0007510187172705685</v>
      </c>
      <c r="R30" s="58">
        <f t="shared" si="16"/>
        <v>5.8213028911069387E-05</v>
      </c>
      <c r="S30" s="58">
        <f t="shared" si="16"/>
        <v>0.0006344167344494167</v>
      </c>
      <c r="T30" s="58">
        <f t="shared" si="16"/>
        <v>0.0013268706675404474</v>
      </c>
      <c r="U30" s="58">
        <f t="shared" si="16"/>
        <v>0.002019148864981446</v>
      </c>
      <c r="V30" s="58">
        <f t="shared" si="16"/>
        <v>0.002711251421278149</v>
      </c>
      <c r="W30" s="73">
        <f>MIN(L30:V30)</f>
        <v>5.8213028911069387E-05</v>
      </c>
    </row>
    <row r="31" spans="10:23" ht="10.5">
      <c r="J31" s="60" t="s">
        <v>200</v>
      </c>
      <c r="K31" s="61">
        <f>($V31-$L31)/10</f>
        <v>0.00016000000000033766</v>
      </c>
      <c r="L31" s="61">
        <f>+$W28-$K28</f>
        <v>-29.787256708176958</v>
      </c>
      <c r="M31" s="61">
        <f aca="true" t="shared" si="17" ref="M31:U31">+L31+$K31</f>
        <v>-29.787096708176957</v>
      </c>
      <c r="N31" s="61">
        <f t="shared" si="17"/>
        <v>-29.786936708176956</v>
      </c>
      <c r="O31" s="61">
        <f t="shared" si="17"/>
        <v>-29.786776708176955</v>
      </c>
      <c r="P31" s="61">
        <f t="shared" si="17"/>
        <v>-29.786616708176954</v>
      </c>
      <c r="Q31" s="61">
        <f t="shared" si="17"/>
        <v>-29.786456708176953</v>
      </c>
      <c r="R31" s="61">
        <f t="shared" si="17"/>
        <v>-29.786296708176952</v>
      </c>
      <c r="S31" s="61">
        <f t="shared" si="17"/>
        <v>-29.78613670817695</v>
      </c>
      <c r="T31" s="61">
        <f t="shared" si="17"/>
        <v>-29.78597670817695</v>
      </c>
      <c r="U31" s="61">
        <f t="shared" si="17"/>
        <v>-29.78581670817695</v>
      </c>
      <c r="V31" s="61">
        <f>+$W28+$K28</f>
        <v>-29.785656708176955</v>
      </c>
      <c r="W31" s="61">
        <f>HLOOKUP(W30,L30:V31,2,FALSE)</f>
        <v>-29.786296708176952</v>
      </c>
    </row>
    <row r="32" spans="10:23" ht="10.5">
      <c r="J32" s="54" t="s">
        <v>199</v>
      </c>
      <c r="K32" s="55"/>
      <c r="L32" s="55">
        <f aca="true" t="shared" si="18" ref="L32:V32">IF($D$10^2-($D$5-L34)^2-($H$5-$H$6)^2&lt;0,0,IF($D$12&gt;0,-1,1)*SQRT($D$10^2-($D$5-L34)^2-($H$5-$H$6)^2)+$F$5)</f>
        <v>75.83115408333892</v>
      </c>
      <c r="M32" s="55">
        <f t="shared" si="18"/>
        <v>75.83137079323686</v>
      </c>
      <c r="N32" s="55">
        <f t="shared" si="18"/>
        <v>75.83158749490602</v>
      </c>
      <c r="O32" s="55">
        <f t="shared" si="18"/>
        <v>75.83180418834726</v>
      </c>
      <c r="P32" s="55">
        <f t="shared" si="18"/>
        <v>75.83202087356145</v>
      </c>
      <c r="Q32" s="55">
        <f t="shared" si="18"/>
        <v>75.83223755054955</v>
      </c>
      <c r="R32" s="55">
        <f t="shared" si="18"/>
        <v>75.83245421931252</v>
      </c>
      <c r="S32" s="55">
        <f t="shared" si="18"/>
        <v>75.83267087985125</v>
      </c>
      <c r="T32" s="55">
        <f t="shared" si="18"/>
        <v>75.83288753216661</v>
      </c>
      <c r="U32" s="55">
        <f t="shared" si="18"/>
        <v>75.83310417625954</v>
      </c>
      <c r="V32" s="55">
        <f t="shared" si="18"/>
        <v>75.83332081213096</v>
      </c>
      <c r="W32" s="65">
        <f>IF($D$12&gt;0,-1,1)*SQRT($D$10^2-($D$5-W34)^2-($H$5-$H$6)^2)+$F$5</f>
        <v>75.83223755054955</v>
      </c>
    </row>
    <row r="33" spans="10:23" ht="10.5">
      <c r="J33" s="57"/>
      <c r="K33" s="58"/>
      <c r="L33" s="58">
        <f aca="true" t="shared" si="19" ref="L33:V33">IF($D$10^2-($D$5-L34)^2-($H$5-$H$6)^2&lt;0,$D$11,ABS(SQRT((L34-$D$7)^2+(L32-$F$7)^2+($H$6-$H$7)^2)-$D$11))</f>
        <v>0.0007510187172705685</v>
      </c>
      <c r="M33" s="58">
        <f t="shared" si="19"/>
        <v>0.000612443501065485</v>
      </c>
      <c r="N33" s="58">
        <f t="shared" si="19"/>
        <v>0.0004738753248574312</v>
      </c>
      <c r="O33" s="58">
        <f t="shared" si="19"/>
        <v>0.00033531418791810097</v>
      </c>
      <c r="P33" s="58">
        <f t="shared" si="19"/>
        <v>0.00019676008953695145</v>
      </c>
      <c r="Q33" s="58">
        <f t="shared" si="19"/>
        <v>5.8213028911069387E-05</v>
      </c>
      <c r="R33" s="58">
        <f t="shared" si="19"/>
        <v>8.032699474114224E-05</v>
      </c>
      <c r="S33" s="58">
        <f t="shared" si="19"/>
        <v>0.00021885998215864788</v>
      </c>
      <c r="T33" s="58">
        <f t="shared" si="19"/>
        <v>0.0003573859340662011</v>
      </c>
      <c r="U33" s="58">
        <f t="shared" si="19"/>
        <v>0.0004959048512382935</v>
      </c>
      <c r="V33" s="58">
        <f t="shared" si="19"/>
        <v>0.0006344167344494167</v>
      </c>
      <c r="W33" s="73">
        <f>MIN(L33:V33)</f>
        <v>5.8213028911069387E-05</v>
      </c>
    </row>
    <row r="34" spans="10:23" ht="10.5">
      <c r="J34" s="60" t="s">
        <v>200</v>
      </c>
      <c r="K34" s="61">
        <f>($V34-$L34)/10</f>
        <v>3.2000000000209636E-05</v>
      </c>
      <c r="L34" s="61">
        <f>+$W31-$K31</f>
        <v>-29.786456708176953</v>
      </c>
      <c r="M34" s="61">
        <f aca="true" t="shared" si="20" ref="M34:U34">+L34+$K34</f>
        <v>-29.786424708176952</v>
      </c>
      <c r="N34" s="61">
        <f t="shared" si="20"/>
        <v>-29.78639270817695</v>
      </c>
      <c r="O34" s="61">
        <f t="shared" si="20"/>
        <v>-29.78636070817695</v>
      </c>
      <c r="P34" s="61">
        <f t="shared" si="20"/>
        <v>-29.78632870817695</v>
      </c>
      <c r="Q34" s="61">
        <f t="shared" si="20"/>
        <v>-29.78629670817695</v>
      </c>
      <c r="R34" s="61">
        <f t="shared" si="20"/>
        <v>-29.786264708176947</v>
      </c>
      <c r="S34" s="61">
        <f t="shared" si="20"/>
        <v>-29.786232708176946</v>
      </c>
      <c r="T34" s="61">
        <f t="shared" si="20"/>
        <v>-29.786200708176946</v>
      </c>
      <c r="U34" s="61">
        <f t="shared" si="20"/>
        <v>-29.786168708176945</v>
      </c>
      <c r="V34" s="61">
        <f>+$W31+$K31</f>
        <v>-29.78613670817695</v>
      </c>
      <c r="W34" s="61">
        <f>HLOOKUP(W33,L33:V34,2,FALSE)</f>
        <v>-29.78629670817695</v>
      </c>
    </row>
    <row r="35" spans="10:23" ht="10.5">
      <c r="J35" s="54" t="s">
        <v>199</v>
      </c>
      <c r="K35" s="55"/>
      <c r="L35" s="55">
        <f aca="true" t="shared" si="21" ref="L35:V35">IF($D$10^2-($D$5-L37)^2-($H$5-$H$6)^2&lt;0,0,IF($D$12&gt;0,-1,1)*SQRT($D$10^2-($D$5-L37)^2-($H$5-$H$6)^2)+$F$5)</f>
        <v>75.83202087356145</v>
      </c>
      <c r="M35" s="55">
        <f t="shared" si="21"/>
        <v>75.8320642096171</v>
      </c>
      <c r="N35" s="55">
        <f t="shared" si="21"/>
        <v>75.83210754534377</v>
      </c>
      <c r="O35" s="55">
        <f t="shared" si="21"/>
        <v>75.83215088074141</v>
      </c>
      <c r="P35" s="55">
        <f t="shared" si="21"/>
        <v>75.83219421580999</v>
      </c>
      <c r="Q35" s="55">
        <f t="shared" si="21"/>
        <v>75.83223755054955</v>
      </c>
      <c r="R35" s="55">
        <f t="shared" si="21"/>
        <v>75.83228088496014</v>
      </c>
      <c r="S35" s="55">
        <f t="shared" si="21"/>
        <v>75.83232421904175</v>
      </c>
      <c r="T35" s="55">
        <f t="shared" si="21"/>
        <v>75.83236755279431</v>
      </c>
      <c r="U35" s="55">
        <f t="shared" si="21"/>
        <v>75.8324108862179</v>
      </c>
      <c r="V35" s="55">
        <f t="shared" si="21"/>
        <v>75.83245421931252</v>
      </c>
      <c r="W35" s="65">
        <f>IF($D$12&gt;0,-1,1)*SQRT($D$10^2-($D$5-W37)^2-($H$5-$H$6)^2)+$F$5</f>
        <v>75.83232421904175</v>
      </c>
    </row>
    <row r="36" spans="10:23" ht="10.5">
      <c r="J36" s="57"/>
      <c r="K36" s="58"/>
      <c r="L36" s="58">
        <f aca="true" t="shared" si="22" ref="L36:V36">IF($D$10^2-($D$5-L37)^2-($H$5-$H$6)^2&lt;0,$D$11,ABS(SQRT((L37-$D$7)^2+(L35-$F$7)^2+($H$6-$H$7)^2)-$D$11))</f>
        <v>0.00019676008953695145</v>
      </c>
      <c r="M36" s="58">
        <f t="shared" si="22"/>
        <v>0.00016905011443313356</v>
      </c>
      <c r="N36" s="58">
        <f t="shared" si="22"/>
        <v>0.00014134042079305686</v>
      </c>
      <c r="O36" s="58">
        <f t="shared" si="22"/>
        <v>0.00011363100865935394</v>
      </c>
      <c r="P36" s="58">
        <f t="shared" si="22"/>
        <v>8.59218780391302E-05</v>
      </c>
      <c r="Q36" s="58">
        <f t="shared" si="22"/>
        <v>5.8213028911069387E-05</v>
      </c>
      <c r="R36" s="58">
        <f t="shared" si="22"/>
        <v>3.050446123609163E-05</v>
      </c>
      <c r="S36" s="58">
        <f t="shared" si="22"/>
        <v>2.7961750213023606E-06</v>
      </c>
      <c r="T36" s="58">
        <f t="shared" si="22"/>
        <v>2.4911829683560427E-05</v>
      </c>
      <c r="U36" s="58">
        <f t="shared" si="22"/>
        <v>5.261955293534015E-05</v>
      </c>
      <c r="V36" s="58">
        <f t="shared" si="22"/>
        <v>8.032699474114224E-05</v>
      </c>
      <c r="W36" s="73">
        <f>MIN(L36:V36)</f>
        <v>2.7961750213023606E-06</v>
      </c>
    </row>
    <row r="37" spans="10:23" ht="10.5">
      <c r="J37" s="60" t="s">
        <v>200</v>
      </c>
      <c r="K37" s="61">
        <f>($V37-$L37)/10</f>
        <v>6.400000000184036E-06</v>
      </c>
      <c r="L37" s="61">
        <f>+$W34-$K34</f>
        <v>-29.78632870817695</v>
      </c>
      <c r="M37" s="61">
        <f aca="true" t="shared" si="23" ref="M37:U37">+L37+$K37</f>
        <v>-29.78632230817695</v>
      </c>
      <c r="N37" s="61">
        <f t="shared" si="23"/>
        <v>-29.78631590817695</v>
      </c>
      <c r="O37" s="61">
        <f t="shared" si="23"/>
        <v>-29.78630950817695</v>
      </c>
      <c r="P37" s="61">
        <f t="shared" si="23"/>
        <v>-29.78630310817695</v>
      </c>
      <c r="Q37" s="61">
        <f t="shared" si="23"/>
        <v>-29.78629670817695</v>
      </c>
      <c r="R37" s="61">
        <f t="shared" si="23"/>
        <v>-29.786290308176948</v>
      </c>
      <c r="S37" s="61">
        <f t="shared" si="23"/>
        <v>-29.786283908176948</v>
      </c>
      <c r="T37" s="61">
        <f t="shared" si="23"/>
        <v>-29.786277508176948</v>
      </c>
      <c r="U37" s="61">
        <f t="shared" si="23"/>
        <v>-29.786271108176948</v>
      </c>
      <c r="V37" s="61">
        <f>+$W34+$K34</f>
        <v>-29.786264708176947</v>
      </c>
      <c r="W37" s="61">
        <f>HLOOKUP(W36,L36:V37,2,FALSE)</f>
        <v>-29.786283908176948</v>
      </c>
    </row>
    <row r="38" spans="10:23" ht="10.5">
      <c r="J38" s="54" t="s">
        <v>199</v>
      </c>
      <c r="K38" s="55"/>
      <c r="L38" s="55">
        <f aca="true" t="shared" si="24" ref="L38:V38">IF($D$10^2-($D$5-L40)^2-($H$5-$H$6)^2&lt;0,0,IF($D$12&gt;0,-1,1)*SQRT($D$10^2-($D$5-L40)^2-($H$5-$H$6)^2)+$F$5)</f>
        <v>75.83228088496014</v>
      </c>
      <c r="M38" s="55">
        <f t="shared" si="24"/>
        <v>75.83228955180277</v>
      </c>
      <c r="N38" s="55">
        <f t="shared" si="24"/>
        <v>75.83229821863226</v>
      </c>
      <c r="O38" s="55">
        <f t="shared" si="24"/>
        <v>75.83230688544857</v>
      </c>
      <c r="P38" s="55">
        <f t="shared" si="24"/>
        <v>75.83231555225171</v>
      </c>
      <c r="Q38" s="55">
        <f t="shared" si="24"/>
        <v>75.8323242190417</v>
      </c>
      <c r="R38" s="55">
        <f t="shared" si="24"/>
        <v>75.83233288581853</v>
      </c>
      <c r="S38" s="55">
        <f t="shared" si="24"/>
        <v>75.8323415525822</v>
      </c>
      <c r="T38" s="55">
        <f t="shared" si="24"/>
        <v>75.83235021933272</v>
      </c>
      <c r="U38" s="55">
        <f t="shared" si="24"/>
        <v>75.83235888607007</v>
      </c>
      <c r="V38" s="55">
        <f t="shared" si="24"/>
        <v>75.83236755279431</v>
      </c>
      <c r="W38" s="65">
        <f>IF($D$12&gt;0,-1,1)*SQRT($D$10^2-($D$5-W40)^2-($H$5-$H$6)^2)+$F$5</f>
        <v>75.83233288581853</v>
      </c>
    </row>
    <row r="39" spans="10:23" ht="10.5">
      <c r="J39" s="57"/>
      <c r="K39" s="58"/>
      <c r="L39" s="58">
        <f aca="true" t="shared" si="25" ref="L39:V39">IF($D$10^2-($D$5-L40)^2-($H$5-$H$6)^2&lt;0,$D$11,ABS(SQRT((L40-$D$7)^2+(L38-$F$7)^2+($H$6-$H$7)^2)-$D$11))</f>
        <v>3.050446123609163E-05</v>
      </c>
      <c r="M39" s="58">
        <f t="shared" si="25"/>
        <v>2.4962781481008278E-05</v>
      </c>
      <c r="N39" s="58">
        <f t="shared" si="25"/>
        <v>1.9421112977369148E-05</v>
      </c>
      <c r="O39" s="58">
        <f t="shared" si="25"/>
        <v>1.3879455739385094E-05</v>
      </c>
      <c r="P39" s="58">
        <f t="shared" si="25"/>
        <v>8.337809770608828E-06</v>
      </c>
      <c r="Q39" s="58">
        <f t="shared" si="25"/>
        <v>2.796175060382211E-06</v>
      </c>
      <c r="R39" s="58">
        <f t="shared" si="25"/>
        <v>2.745448401952899E-06</v>
      </c>
      <c r="S39" s="58">
        <f t="shared" si="25"/>
        <v>8.287060605738361E-06</v>
      </c>
      <c r="T39" s="58">
        <f t="shared" si="25"/>
        <v>1.3828661550974175E-05</v>
      </c>
      <c r="U39" s="58">
        <f t="shared" si="25"/>
        <v>1.9370251223449486E-05</v>
      </c>
      <c r="V39" s="58">
        <f t="shared" si="25"/>
        <v>2.4911829683560427E-05</v>
      </c>
      <c r="W39" s="73">
        <f>MIN(L39:V39)</f>
        <v>2.745448401952899E-06</v>
      </c>
    </row>
    <row r="40" spans="10:23" ht="10.5">
      <c r="J40" s="60" t="s">
        <v>200</v>
      </c>
      <c r="K40" s="61">
        <f>($V40-$L40)/10</f>
        <v>1.2800000000368072E-06</v>
      </c>
      <c r="L40" s="61">
        <f>+$W37-$K37</f>
        <v>-29.786290308176948</v>
      </c>
      <c r="M40" s="61">
        <f aca="true" t="shared" si="26" ref="M40:U40">+L40+$K40</f>
        <v>-29.78628902817695</v>
      </c>
      <c r="N40" s="61">
        <f t="shared" si="26"/>
        <v>-29.78628774817695</v>
      </c>
      <c r="O40" s="61">
        <f t="shared" si="26"/>
        <v>-29.78628646817695</v>
      </c>
      <c r="P40" s="61">
        <f t="shared" si="26"/>
        <v>-29.78628518817695</v>
      </c>
      <c r="Q40" s="61">
        <f t="shared" si="26"/>
        <v>-29.78628390817695</v>
      </c>
      <c r="R40" s="61">
        <f t="shared" si="26"/>
        <v>-29.786282628176952</v>
      </c>
      <c r="S40" s="61">
        <f t="shared" si="26"/>
        <v>-29.786281348176953</v>
      </c>
      <c r="T40" s="61">
        <f t="shared" si="26"/>
        <v>-29.786280068176954</v>
      </c>
      <c r="U40" s="61">
        <f t="shared" si="26"/>
        <v>-29.786278788176954</v>
      </c>
      <c r="V40" s="61">
        <f>+$W37+$K37</f>
        <v>-29.786277508176948</v>
      </c>
      <c r="W40" s="61">
        <f>HLOOKUP(W39,L39:V40,2,FALSE)</f>
        <v>-29.786282628176952</v>
      </c>
    </row>
    <row r="41" spans="10:23" ht="10.5">
      <c r="J41" s="64" t="str">
        <f>+J38</f>
        <v>ycR</v>
      </c>
      <c r="K41" s="55"/>
      <c r="L41" s="55">
        <f aca="true" t="shared" si="27" ref="L41:V41">IF($D$10^2-($D$5-L43)^2-($H$5-$H$6)^2&lt;0,0,IF($D$12&gt;0,-1,1)*SQRT($D$10^2-($D$5-L43)^2-($H$5-$H$6)^2)+$F$5)</f>
        <v>75.8323242190417</v>
      </c>
      <c r="M41" s="55">
        <f t="shared" si="27"/>
        <v>75.83232595239812</v>
      </c>
      <c r="N41" s="55">
        <f t="shared" si="27"/>
        <v>75.83232768575402</v>
      </c>
      <c r="O41" s="55">
        <f t="shared" si="27"/>
        <v>75.83232941910937</v>
      </c>
      <c r="P41" s="55">
        <f t="shared" si="27"/>
        <v>75.83233115246423</v>
      </c>
      <c r="Q41" s="55">
        <f t="shared" si="27"/>
        <v>75.83233288581853</v>
      </c>
      <c r="R41" s="55">
        <f t="shared" si="27"/>
        <v>75.83233461917231</v>
      </c>
      <c r="S41" s="55">
        <f t="shared" si="27"/>
        <v>75.83233635252559</v>
      </c>
      <c r="T41" s="55">
        <f t="shared" si="27"/>
        <v>75.83233808587832</v>
      </c>
      <c r="U41" s="55">
        <f t="shared" si="27"/>
        <v>75.83233981923053</v>
      </c>
      <c r="V41" s="55">
        <f t="shared" si="27"/>
        <v>75.8323415525822</v>
      </c>
      <c r="W41" s="74">
        <f>IF($D$12&gt;0,-1,1)*SQRT($D$10^2-($D$5-W43)^2-($H$5-$H$6)^2)+$F$5</f>
        <v>75.83232941910937</v>
      </c>
    </row>
    <row r="42" spans="10:23" ht="10.5">
      <c r="J42" s="57"/>
      <c r="K42" s="58"/>
      <c r="L42" s="58">
        <f aca="true" t="shared" si="28" ref="L42:V42">IF($D$10^2-($D$5-L43)^2-($H$5-$H$6)^2&lt;0,$D$11,ABS(SQRT((L43-$D$7)^2+(L41-$F$7)^2+($H$6-$H$7)^2)-$D$11))</f>
        <v>2.796175060382211E-06</v>
      </c>
      <c r="M42" s="58">
        <f t="shared" si="28"/>
        <v>1.687849461973201E-06</v>
      </c>
      <c r="N42" s="58">
        <f t="shared" si="28"/>
        <v>5.79524314758828E-07</v>
      </c>
      <c r="O42" s="58">
        <f t="shared" si="28"/>
        <v>5.288003634973393E-07</v>
      </c>
      <c r="P42" s="58">
        <f t="shared" si="28"/>
        <v>1.6371246225332925E-06</v>
      </c>
      <c r="Q42" s="58">
        <f t="shared" si="28"/>
        <v>2.745448401952899E-06</v>
      </c>
      <c r="R42" s="58">
        <f t="shared" si="28"/>
        <v>3.8537717408360095E-06</v>
      </c>
      <c r="S42" s="58">
        <f t="shared" si="28"/>
        <v>4.962094639182624E-06</v>
      </c>
      <c r="T42" s="58">
        <f t="shared" si="28"/>
        <v>6.070417079229173E-06</v>
      </c>
      <c r="U42" s="58">
        <f t="shared" si="28"/>
        <v>7.178739068081086E-06</v>
      </c>
      <c r="V42" s="58">
        <f t="shared" si="28"/>
        <v>8.287060605738361E-06</v>
      </c>
      <c r="W42" s="73">
        <f>MIN(L42:V42)</f>
        <v>5.288003634973393E-07</v>
      </c>
    </row>
    <row r="43" spans="10:23" ht="10.5">
      <c r="J43" s="70" t="str">
        <f>+J40</f>
        <v>xcR</v>
      </c>
      <c r="K43" s="61">
        <f>($V43-$L43)/10</f>
        <v>2.559999998652529E-07</v>
      </c>
      <c r="L43" s="61">
        <f>+$W40-$K40</f>
        <v>-29.78628390817695</v>
      </c>
      <c r="M43" s="61">
        <f aca="true" t="shared" si="29" ref="M43:U43">+L43+$K43</f>
        <v>-29.78628365217695</v>
      </c>
      <c r="N43" s="61">
        <f t="shared" si="29"/>
        <v>-29.78628339617695</v>
      </c>
      <c r="O43" s="61">
        <f t="shared" si="29"/>
        <v>-29.786283140176952</v>
      </c>
      <c r="P43" s="61">
        <f t="shared" si="29"/>
        <v>-29.786282884176952</v>
      </c>
      <c r="Q43" s="61">
        <f t="shared" si="29"/>
        <v>-29.786282628176952</v>
      </c>
      <c r="R43" s="61">
        <f t="shared" si="29"/>
        <v>-29.786282372176952</v>
      </c>
      <c r="S43" s="61">
        <f t="shared" si="29"/>
        <v>-29.786282116176952</v>
      </c>
      <c r="T43" s="61">
        <f t="shared" si="29"/>
        <v>-29.786281860176953</v>
      </c>
      <c r="U43" s="61">
        <f t="shared" si="29"/>
        <v>-29.786281604176953</v>
      </c>
      <c r="V43" s="61">
        <f>+$W40+$K40</f>
        <v>-29.786281348176953</v>
      </c>
      <c r="W43" s="75">
        <f>HLOOKUP(W42,L42:V43,2,FALSE)</f>
        <v>-29.786283140176952</v>
      </c>
    </row>
  </sheetData>
  <printOptions/>
  <pageMargins left="0.75" right="0.75" top="1" bottom="1" header="0.512" footer="0.512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CC10"/>
  <sheetViews>
    <sheetView workbookViewId="0" topLeftCell="A1">
      <selection activeCell="A1" sqref="A1"/>
    </sheetView>
  </sheetViews>
  <sheetFormatPr defaultColWidth="9.00390625" defaultRowHeight="13.5"/>
  <cols>
    <col min="1" max="1" width="13.875" style="89" bestFit="1" customWidth="1"/>
    <col min="2" max="2" width="6.50390625" style="79" bestFit="1" customWidth="1"/>
    <col min="3" max="80" width="4.625" style="87" customWidth="1"/>
    <col min="81" max="81" width="4.625" style="88" customWidth="1"/>
    <col min="82" max="16384" width="9.00390625" style="79" customWidth="1"/>
  </cols>
  <sheetData>
    <row r="2" spans="1:81" ht="12.75">
      <c r="A2" s="76" t="s">
        <v>201</v>
      </c>
      <c r="B2" s="77"/>
      <c r="C2" s="78">
        <v>-39</v>
      </c>
      <c r="D2" s="78">
        <v>-38</v>
      </c>
      <c r="E2" s="78">
        <v>-37</v>
      </c>
      <c r="F2" s="78">
        <v>-36</v>
      </c>
      <c r="G2" s="78">
        <v>-35</v>
      </c>
      <c r="H2" s="78">
        <v>-34</v>
      </c>
      <c r="I2" s="78">
        <v>-33</v>
      </c>
      <c r="J2" s="78">
        <v>-32</v>
      </c>
      <c r="K2" s="78">
        <v>-31</v>
      </c>
      <c r="L2" s="78">
        <v>-30</v>
      </c>
      <c r="M2" s="78">
        <v>-29</v>
      </c>
      <c r="N2" s="78">
        <v>-28</v>
      </c>
      <c r="O2" s="78">
        <v>-27</v>
      </c>
      <c r="P2" s="78">
        <v>-26</v>
      </c>
      <c r="Q2" s="78">
        <v>-25</v>
      </c>
      <c r="R2" s="78">
        <v>-24</v>
      </c>
      <c r="S2" s="78">
        <v>-23</v>
      </c>
      <c r="T2" s="78">
        <v>-22</v>
      </c>
      <c r="U2" s="78">
        <v>-21</v>
      </c>
      <c r="V2" s="78">
        <v>-20</v>
      </c>
      <c r="W2" s="78">
        <v>-19</v>
      </c>
      <c r="X2" s="78">
        <v>-18</v>
      </c>
      <c r="Y2" s="78">
        <v>-17</v>
      </c>
      <c r="Z2" s="78">
        <v>-16</v>
      </c>
      <c r="AA2" s="78">
        <v>-15</v>
      </c>
      <c r="AB2" s="78">
        <v>-14</v>
      </c>
      <c r="AC2" s="78">
        <v>-13</v>
      </c>
      <c r="AD2" s="78">
        <v>-12</v>
      </c>
      <c r="AE2" s="78">
        <v>-11</v>
      </c>
      <c r="AF2" s="78">
        <v>-10</v>
      </c>
      <c r="AG2" s="78">
        <v>-9</v>
      </c>
      <c r="AH2" s="78">
        <v>-8</v>
      </c>
      <c r="AI2" s="78">
        <v>-7</v>
      </c>
      <c r="AJ2" s="78">
        <v>-6</v>
      </c>
      <c r="AK2" s="78">
        <v>-5</v>
      </c>
      <c r="AL2" s="78">
        <v>-4</v>
      </c>
      <c r="AM2" s="78">
        <v>-3</v>
      </c>
      <c r="AN2" s="78">
        <v>-2</v>
      </c>
      <c r="AO2" s="78">
        <v>-1</v>
      </c>
      <c r="AP2" s="78">
        <v>0</v>
      </c>
      <c r="AQ2" s="78">
        <v>1</v>
      </c>
      <c r="AR2" s="78">
        <v>2</v>
      </c>
      <c r="AS2" s="78">
        <v>3</v>
      </c>
      <c r="AT2" s="78">
        <v>4</v>
      </c>
      <c r="AU2" s="78">
        <v>5</v>
      </c>
      <c r="AV2" s="78">
        <v>6</v>
      </c>
      <c r="AW2" s="78">
        <v>7</v>
      </c>
      <c r="AX2" s="78">
        <v>8</v>
      </c>
      <c r="AY2" s="78">
        <v>9</v>
      </c>
      <c r="AZ2" s="78">
        <v>10</v>
      </c>
      <c r="BA2" s="78">
        <v>11</v>
      </c>
      <c r="BB2" s="78">
        <v>12</v>
      </c>
      <c r="BC2" s="78">
        <v>13</v>
      </c>
      <c r="BD2" s="78">
        <v>14</v>
      </c>
      <c r="BE2" s="78">
        <v>15</v>
      </c>
      <c r="BF2" s="78">
        <v>16</v>
      </c>
      <c r="BG2" s="78">
        <v>17</v>
      </c>
      <c r="BH2" s="78">
        <v>18</v>
      </c>
      <c r="BI2" s="78">
        <v>19</v>
      </c>
      <c r="BJ2" s="78">
        <v>20</v>
      </c>
      <c r="BK2" s="78">
        <v>21</v>
      </c>
      <c r="BL2" s="78">
        <v>22</v>
      </c>
      <c r="BM2" s="78">
        <v>23</v>
      </c>
      <c r="BN2" s="78">
        <v>24</v>
      </c>
      <c r="BO2" s="78">
        <v>25</v>
      </c>
      <c r="BP2" s="78">
        <v>26</v>
      </c>
      <c r="BQ2" s="78">
        <v>27</v>
      </c>
      <c r="BR2" s="78">
        <v>28</v>
      </c>
      <c r="BS2" s="78">
        <v>29</v>
      </c>
      <c r="BT2" s="78">
        <v>30</v>
      </c>
      <c r="BU2" s="78">
        <v>31</v>
      </c>
      <c r="BV2" s="78">
        <v>32</v>
      </c>
      <c r="BW2" s="78">
        <v>33</v>
      </c>
      <c r="BX2" s="78">
        <v>34</v>
      </c>
      <c r="BY2" s="78">
        <v>35</v>
      </c>
      <c r="BZ2" s="78">
        <v>36</v>
      </c>
      <c r="CA2" s="78">
        <v>37</v>
      </c>
      <c r="CB2" s="78">
        <v>38</v>
      </c>
      <c r="CC2" s="77">
        <v>39</v>
      </c>
    </row>
    <row r="3" spans="1:81" s="82" customFormat="1" ht="12.75">
      <c r="A3" s="80" t="s">
        <v>202</v>
      </c>
      <c r="B3" s="81" t="s">
        <v>203</v>
      </c>
      <c r="C3" s="81">
        <v>-34.125</v>
      </c>
      <c r="D3" s="81">
        <v>-33.25</v>
      </c>
      <c r="E3" s="81">
        <v>-32.375</v>
      </c>
      <c r="F3" s="81">
        <v>-31.5</v>
      </c>
      <c r="G3" s="81">
        <v>-30.625</v>
      </c>
      <c r="H3" s="81">
        <v>-29.75</v>
      </c>
      <c r="I3" s="81">
        <v>-28.875</v>
      </c>
      <c r="J3" s="81">
        <v>-28</v>
      </c>
      <c r="K3" s="81">
        <v>-27.125</v>
      </c>
      <c r="L3" s="81">
        <v>-26.25</v>
      </c>
      <c r="M3" s="81">
        <v>-25.375</v>
      </c>
      <c r="N3" s="81">
        <v>-24.5</v>
      </c>
      <c r="O3" s="81">
        <v>-23.625</v>
      </c>
      <c r="P3" s="81">
        <v>-22.75</v>
      </c>
      <c r="Q3" s="81">
        <v>-21.875</v>
      </c>
      <c r="R3" s="81">
        <v>-21</v>
      </c>
      <c r="S3" s="81">
        <v>-20.125</v>
      </c>
      <c r="T3" s="81">
        <v>-19.25</v>
      </c>
      <c r="U3" s="81">
        <v>-18.375</v>
      </c>
      <c r="V3" s="81">
        <v>-17.5</v>
      </c>
      <c r="W3" s="81">
        <v>-16.625</v>
      </c>
      <c r="X3" s="81">
        <v>-15.75</v>
      </c>
      <c r="Y3" s="81">
        <v>-14.875</v>
      </c>
      <c r="Z3" s="81">
        <v>-14</v>
      </c>
      <c r="AA3" s="81">
        <v>-13.125</v>
      </c>
      <c r="AB3" s="81">
        <v>-12.25</v>
      </c>
      <c r="AC3" s="81">
        <v>-11.375</v>
      </c>
      <c r="AD3" s="81">
        <v>-10.5</v>
      </c>
      <c r="AE3" s="81">
        <v>-9.625</v>
      </c>
      <c r="AF3" s="81">
        <v>-8.75</v>
      </c>
      <c r="AG3" s="81">
        <v>-7.875</v>
      </c>
      <c r="AH3" s="81">
        <v>-7</v>
      </c>
      <c r="AI3" s="81">
        <v>-6.125</v>
      </c>
      <c r="AJ3" s="81">
        <v>-5.25</v>
      </c>
      <c r="AK3" s="81">
        <v>-4.375</v>
      </c>
      <c r="AL3" s="81">
        <v>-3.5</v>
      </c>
      <c r="AM3" s="81">
        <v>-2.625</v>
      </c>
      <c r="AN3" s="81">
        <v>-1.75</v>
      </c>
      <c r="AO3" s="81">
        <v>-0.875</v>
      </c>
      <c r="AP3" s="81">
        <v>0</v>
      </c>
      <c r="AQ3" s="81">
        <v>0.875</v>
      </c>
      <c r="AR3" s="81">
        <v>1.75</v>
      </c>
      <c r="AS3" s="81">
        <v>2.625</v>
      </c>
      <c r="AT3" s="81">
        <v>3.5</v>
      </c>
      <c r="AU3" s="81">
        <v>4.375</v>
      </c>
      <c r="AV3" s="81">
        <v>5.25</v>
      </c>
      <c r="AW3" s="81">
        <v>6.125</v>
      </c>
      <c r="AX3" s="81">
        <v>7</v>
      </c>
      <c r="AY3" s="81">
        <v>7.875</v>
      </c>
      <c r="AZ3" s="81">
        <v>8.75</v>
      </c>
      <c r="BA3" s="81">
        <v>9.625</v>
      </c>
      <c r="BB3" s="81">
        <v>10.5</v>
      </c>
      <c r="BC3" s="81">
        <v>11.375</v>
      </c>
      <c r="BD3" s="81">
        <v>12.25</v>
      </c>
      <c r="BE3" s="81">
        <v>13.125</v>
      </c>
      <c r="BF3" s="81">
        <v>14</v>
      </c>
      <c r="BG3" s="81">
        <v>14.875</v>
      </c>
      <c r="BH3" s="81">
        <v>15.75</v>
      </c>
      <c r="BI3" s="81">
        <v>16.625</v>
      </c>
      <c r="BJ3" s="81">
        <v>17.5</v>
      </c>
      <c r="BK3" s="81">
        <v>18.375</v>
      </c>
      <c r="BL3" s="81">
        <v>19.25</v>
      </c>
      <c r="BM3" s="81">
        <v>20.125</v>
      </c>
      <c r="BN3" s="81">
        <v>21</v>
      </c>
      <c r="BO3" s="81">
        <v>21.875</v>
      </c>
      <c r="BP3" s="81">
        <v>22.75</v>
      </c>
      <c r="BQ3" s="81">
        <v>23.625</v>
      </c>
      <c r="BR3" s="81">
        <v>24.5</v>
      </c>
      <c r="BS3" s="81">
        <v>25.375</v>
      </c>
      <c r="BT3" s="81">
        <v>26.25</v>
      </c>
      <c r="BU3" s="81">
        <v>27.125</v>
      </c>
      <c r="BV3" s="81">
        <v>28</v>
      </c>
      <c r="BW3" s="81">
        <v>28.875</v>
      </c>
      <c r="BX3" s="81">
        <v>29.75</v>
      </c>
      <c r="BY3" s="81">
        <v>30.625</v>
      </c>
      <c r="BZ3" s="81">
        <v>31.5</v>
      </c>
      <c r="CA3" s="81">
        <v>32.375</v>
      </c>
      <c r="CB3" s="81">
        <v>33.25</v>
      </c>
      <c r="CC3" s="81">
        <v>34.125</v>
      </c>
    </row>
    <row r="4" spans="1:81" ht="25.5">
      <c r="A4" s="83" t="s">
        <v>204</v>
      </c>
      <c r="B4" s="77" t="s">
        <v>205</v>
      </c>
      <c r="C4" s="84">
        <v>267.45165557648363</v>
      </c>
      <c r="D4" s="84">
        <v>272.05846663697685</v>
      </c>
      <c r="E4" s="84">
        <v>276.97836404047126</v>
      </c>
      <c r="F4" s="84">
        <v>282.23542364278444</v>
      </c>
      <c r="G4" s="84">
        <v>287.85655424697563</v>
      </c>
      <c r="H4" s="84">
        <v>293.8719116230827</v>
      </c>
      <c r="I4" s="84">
        <v>300.31542128965674</v>
      </c>
      <c r="J4" s="84">
        <v>307.22531394289416</v>
      </c>
      <c r="K4" s="84">
        <v>314.64485387145425</v>
      </c>
      <c r="L4" s="84">
        <v>322.6231491164635</v>
      </c>
      <c r="M4" s="84">
        <v>331.21619165336244</v>
      </c>
      <c r="N4" s="84">
        <v>340.4880311829127</v>
      </c>
      <c r="O4" s="84">
        <v>350.51231286205086</v>
      </c>
      <c r="P4" s="84">
        <v>361.37409990330576</v>
      </c>
      <c r="Q4" s="84">
        <v>373.17219437678693</v>
      </c>
      <c r="R4" s="84">
        <v>386.02192186372133</v>
      </c>
      <c r="S4" s="84">
        <v>400.05884907596095</v>
      </c>
      <c r="T4" s="84">
        <v>415.4432787437912</v>
      </c>
      <c r="U4" s="84">
        <v>432.3662380439319</v>
      </c>
      <c r="V4" s="84">
        <v>451.057132337543</v>
      </c>
      <c r="W4" s="84">
        <v>471.7938987818218</v>
      </c>
      <c r="X4" s="84">
        <v>494.9165834091634</v>
      </c>
      <c r="Y4" s="84">
        <v>520.8455731769758</v>
      </c>
      <c r="Z4" s="84">
        <v>550.1068763098107</v>
      </c>
      <c r="AA4" s="84">
        <v>583.3675602319855</v>
      </c>
      <c r="AB4" s="84">
        <v>621.486170408268</v>
      </c>
      <c r="AC4" s="84">
        <v>665.5870296883908</v>
      </c>
      <c r="AD4" s="84">
        <v>717.1714859899029</v>
      </c>
      <c r="AE4" s="84">
        <v>778.290355053847</v>
      </c>
      <c r="AF4" s="84">
        <v>851.8206033848894</v>
      </c>
      <c r="AG4" s="84">
        <v>941.9282418805392</v>
      </c>
      <c r="AH4" s="84">
        <v>1054.880411468795</v>
      </c>
      <c r="AI4" s="84">
        <v>1200.5622614419585</v>
      </c>
      <c r="AJ4" s="84">
        <v>1395.5271638999184</v>
      </c>
      <c r="AK4" s="84">
        <v>1669.7598412435755</v>
      </c>
      <c r="AL4" s="84">
        <v>2083.7672085977997</v>
      </c>
      <c r="AM4" s="84">
        <v>2780.6679325189248</v>
      </c>
      <c r="AN4" s="84">
        <v>4200.251059776767</v>
      </c>
      <c r="AO4" s="84">
        <v>8674.540963195797</v>
      </c>
      <c r="AP4" s="84">
        <v>114102.38800219484</v>
      </c>
      <c r="AQ4" s="84">
        <v>9088.084562599326</v>
      </c>
      <c r="AR4" s="84">
        <v>4348.23578503195</v>
      </c>
      <c r="AS4" s="84">
        <v>2867.9392700420926</v>
      </c>
      <c r="AT4" s="84">
        <v>2145.3145309799997</v>
      </c>
      <c r="AU4" s="84">
        <v>1717.2911981423974</v>
      </c>
      <c r="AV4" s="84">
        <v>1434.2933080863027</v>
      </c>
      <c r="AW4" s="84">
        <v>1233.348749828255</v>
      </c>
      <c r="AX4" s="84">
        <v>1083.335769450325</v>
      </c>
      <c r="AY4" s="84">
        <v>967.1065558964718</v>
      </c>
      <c r="AZ4" s="84">
        <v>874.4359315727833</v>
      </c>
      <c r="BA4" s="84">
        <v>798.8481242126744</v>
      </c>
      <c r="BB4" s="84">
        <v>736.0425606130617</v>
      </c>
      <c r="BC4" s="84">
        <v>683.0514247670005</v>
      </c>
      <c r="BD4" s="84">
        <v>637.7604027316098</v>
      </c>
      <c r="BE4" s="84">
        <v>598.6225591048355</v>
      </c>
      <c r="BF4" s="84">
        <v>564.4799090908093</v>
      </c>
      <c r="BG4" s="84">
        <v>534.4485437236423</v>
      </c>
      <c r="BH4" s="84">
        <v>507.8419168509502</v>
      </c>
      <c r="BI4" s="84">
        <v>484.11885987216704</v>
      </c>
      <c r="BJ4" s="84">
        <v>462.8469276521183</v>
      </c>
      <c r="BK4" s="84">
        <v>443.67649765596315</v>
      </c>
      <c r="BL4" s="84">
        <v>426.3218002018126</v>
      </c>
      <c r="BM4" s="84">
        <v>410.547023468195</v>
      </c>
      <c r="BN4" s="84">
        <v>396.1558619011127</v>
      </c>
      <c r="BO4" s="84">
        <v>382.98360626545906</v>
      </c>
      <c r="BP4" s="84">
        <v>370.89098971195534</v>
      </c>
      <c r="BQ4" s="84">
        <v>359.7595334736249</v>
      </c>
      <c r="BR4" s="84">
        <v>349.48780882622765</v>
      </c>
      <c r="BS4" s="84">
        <v>339.98844333903753</v>
      </c>
      <c r="BT4" s="84">
        <v>331.1858489013595</v>
      </c>
      <c r="BU4" s="84">
        <v>323.01424975921964</v>
      </c>
      <c r="BV4" s="84">
        <v>315.41621500685307</v>
      </c>
      <c r="BW4" s="84">
        <v>308.34133249333223</v>
      </c>
      <c r="BX4" s="84">
        <v>301.7452309568744</v>
      </c>
      <c r="BY4" s="84">
        <v>295.5886760251966</v>
      </c>
      <c r="BZ4" s="84">
        <v>289.8368886444386</v>
      </c>
      <c r="CA4" s="84">
        <v>284.4589427367758</v>
      </c>
      <c r="CB4" s="84">
        <v>279.42725888503253</v>
      </c>
      <c r="CC4" s="78">
        <v>274.71716589555786</v>
      </c>
    </row>
    <row r="5" spans="1:81" ht="25.5">
      <c r="A5" s="83" t="s">
        <v>206</v>
      </c>
      <c r="B5" s="77" t="s">
        <v>207</v>
      </c>
      <c r="C5" s="84">
        <v>195.0800460015931</v>
      </c>
      <c r="D5" s="84">
        <v>199.864291228579</v>
      </c>
      <c r="E5" s="84">
        <v>204.96157242596558</v>
      </c>
      <c r="F5" s="84">
        <v>210.39557913761723</v>
      </c>
      <c r="G5" s="84">
        <v>216.1928464942528</v>
      </c>
      <c r="H5" s="84">
        <v>222.3831697193467</v>
      </c>
      <c r="I5" s="84">
        <v>229.0001281223074</v>
      </c>
      <c r="J5" s="84">
        <v>236.0816193141524</v>
      </c>
      <c r="K5" s="84">
        <v>243.67058863110498</v>
      </c>
      <c r="L5" s="84">
        <v>251.8158386511522</v>
      </c>
      <c r="M5" s="84">
        <v>260.5730699581927</v>
      </c>
      <c r="N5" s="84">
        <v>270.00605372017867</v>
      </c>
      <c r="O5" s="84">
        <v>280.18817001193776</v>
      </c>
      <c r="P5" s="84">
        <v>291.20422971043234</v>
      </c>
      <c r="Q5" s="84">
        <v>303.1527953897111</v>
      </c>
      <c r="R5" s="84">
        <v>316.14896456575616</v>
      </c>
      <c r="S5" s="84">
        <v>330.32808821844975</v>
      </c>
      <c r="T5" s="84">
        <v>345.85026397785396</v>
      </c>
      <c r="U5" s="84">
        <v>362.90632483238295</v>
      </c>
      <c r="V5" s="84">
        <v>381.7254919039048</v>
      </c>
      <c r="W5" s="84">
        <v>402.58552766978397</v>
      </c>
      <c r="X5" s="84">
        <v>425.82631268226396</v>
      </c>
      <c r="Y5" s="84">
        <v>451.8680764780463</v>
      </c>
      <c r="Z5" s="84">
        <v>481.23667767073783</v>
      </c>
      <c r="AA5" s="84">
        <v>514.5990414420045</v>
      </c>
      <c r="AB5" s="84">
        <v>552.813577145967</v>
      </c>
      <c r="AC5" s="84">
        <v>597.0044776979006</v>
      </c>
      <c r="AD5" s="84">
        <v>648.6729662434196</v>
      </c>
      <c r="AE5" s="84">
        <v>709.8697382559387</v>
      </c>
      <c r="AF5" s="84">
        <v>783.4716438789983</v>
      </c>
      <c r="AG5" s="84">
        <v>873.6445811200699</v>
      </c>
      <c r="AH5" s="84">
        <v>986.6555803359478</v>
      </c>
      <c r="AI5" s="84">
        <v>1132.389682374786</v>
      </c>
      <c r="AJ5" s="84">
        <v>1327.4001520664374</v>
      </c>
      <c r="AK5" s="84">
        <v>1601.671605045515</v>
      </c>
      <c r="AL5" s="84">
        <v>2015.7108496065716</v>
      </c>
      <c r="AM5" s="84">
        <v>2712.6364445326226</v>
      </c>
      <c r="AN5" s="84">
        <v>4132.237327237466</v>
      </c>
      <c r="AO5" s="84">
        <v>8606.537758807544</v>
      </c>
      <c r="AP5" s="84">
        <v>114170.35015366548</v>
      </c>
      <c r="AQ5" s="84">
        <v>9020.081643777969</v>
      </c>
      <c r="AR5" s="84">
        <v>4280.22297542099</v>
      </c>
      <c r="AS5" s="84">
        <v>2799.909682676049</v>
      </c>
      <c r="AT5" s="84">
        <v>2077.261391087837</v>
      </c>
      <c r="AU5" s="84">
        <v>1649.2078412467197</v>
      </c>
      <c r="AV5" s="84">
        <v>1366.1731788522845</v>
      </c>
      <c r="AW5" s="84">
        <v>1165.1854015677923</v>
      </c>
      <c r="AX5" s="84">
        <v>1015.1228642944241</v>
      </c>
      <c r="AY5" s="84">
        <v>898.8378655871863</v>
      </c>
      <c r="AZ5" s="84">
        <v>806.1053389926194</v>
      </c>
      <c r="BA5" s="84">
        <v>730.4496254381261</v>
      </c>
      <c r="BB5" s="84">
        <v>667.5702675846322</v>
      </c>
      <c r="BC5" s="84">
        <v>614.4995687082825</v>
      </c>
      <c r="BD5" s="84">
        <v>569.1233379655337</v>
      </c>
      <c r="BE5" s="84">
        <v>529.8947676742674</v>
      </c>
      <c r="BF5" s="84">
        <v>495.6560057243324</v>
      </c>
      <c r="BG5" s="84">
        <v>465.523281790735</v>
      </c>
      <c r="BH5" s="84">
        <v>438.8101942151321</v>
      </c>
      <c r="BI5" s="84">
        <v>414.97572607061636</v>
      </c>
      <c r="BJ5" s="84">
        <v>393.5875909926339</v>
      </c>
      <c r="BK5" s="84">
        <v>374.2963333455682</v>
      </c>
      <c r="BL5" s="84">
        <v>356.8163585690442</v>
      </c>
      <c r="BM5" s="84">
        <v>340.91203892458736</v>
      </c>
      <c r="BN5" s="84">
        <v>326.3872623411141</v>
      </c>
      <c r="BO5" s="84">
        <v>313.0775231150125</v>
      </c>
      <c r="BP5" s="84">
        <v>300.84376774344855</v>
      </c>
      <c r="BQ5" s="84">
        <v>289.5677417971931</v>
      </c>
      <c r="BR5" s="84">
        <v>279.14825210818026</v>
      </c>
      <c r="BS5" s="84">
        <v>269.4981725870827</v>
      </c>
      <c r="BT5" s="84">
        <v>260.542173691232</v>
      </c>
      <c r="BU5" s="84">
        <v>252.21474949117035</v>
      </c>
      <c r="BV5" s="84">
        <v>244.45875158311262</v>
      </c>
      <c r="BW5" s="84">
        <v>237.2240618208006</v>
      </c>
      <c r="BX5" s="84">
        <v>230.46661565628813</v>
      </c>
      <c r="BY5" s="84">
        <v>224.14749705844937</v>
      </c>
      <c r="BZ5" s="84">
        <v>218.23225755378834</v>
      </c>
      <c r="CA5" s="84">
        <v>212.69031362125077</v>
      </c>
      <c r="CB5" s="84">
        <v>207.49444000312707</v>
      </c>
      <c r="CC5" s="78">
        <v>202.62033038867025</v>
      </c>
    </row>
    <row r="6" spans="1:81" s="82" customFormat="1" ht="25.5">
      <c r="A6" s="85" t="s">
        <v>208</v>
      </c>
      <c r="B6" s="77" t="s">
        <v>209</v>
      </c>
      <c r="C6" s="81">
        <v>23.13267996398084</v>
      </c>
      <c r="D6" s="81">
        <v>22.689562672174723</v>
      </c>
      <c r="E6" s="81">
        <v>22.235228467328156</v>
      </c>
      <c r="F6" s="81">
        <v>21.769984872453925</v>
      </c>
      <c r="G6" s="81">
        <v>21.294137662516462</v>
      </c>
      <c r="H6" s="81">
        <v>20.80799019475902</v>
      </c>
      <c r="I6" s="81">
        <v>20.311840295126196</v>
      </c>
      <c r="J6" s="81">
        <v>19.80598361572396</v>
      </c>
      <c r="K6" s="81">
        <v>19.29071057281726</v>
      </c>
      <c r="L6" s="81">
        <v>18.766307765327024</v>
      </c>
      <c r="M6" s="81">
        <v>18.233055464861728</v>
      </c>
      <c r="N6" s="81">
        <v>17.691230551138247</v>
      </c>
      <c r="O6" s="81">
        <v>17.14110355119766</v>
      </c>
      <c r="P6" s="81">
        <v>16.58293964015703</v>
      </c>
      <c r="Q6" s="81">
        <v>16.01699670883274</v>
      </c>
      <c r="R6" s="81">
        <v>15.443528845029954</v>
      </c>
      <c r="S6" s="81">
        <v>14.862780996705188</v>
      </c>
      <c r="T6" s="81">
        <v>14.274993456623848</v>
      </c>
      <c r="U6" s="81">
        <v>13.680398512396911</v>
      </c>
      <c r="V6" s="81">
        <v>13.07922200531942</v>
      </c>
      <c r="W6" s="81">
        <v>12.471682446739274</v>
      </c>
      <c r="X6" s="81">
        <v>11.85798965198524</v>
      </c>
      <c r="Y6" s="81">
        <v>11.238347288958161</v>
      </c>
      <c r="Z6" s="81">
        <v>10.612951027163827</v>
      </c>
      <c r="AA6" s="81">
        <v>9.981987176068765</v>
      </c>
      <c r="AB6" s="81">
        <v>9.3456362116835</v>
      </c>
      <c r="AC6" s="81">
        <v>8.70406847576749</v>
      </c>
      <c r="AD6" s="81">
        <v>8.05744622694196</v>
      </c>
      <c r="AE6" s="81">
        <v>7.405923731038055</v>
      </c>
      <c r="AF6" s="81">
        <v>6.749646854945082</v>
      </c>
      <c r="AG6" s="81">
        <v>6.088750686192845</v>
      </c>
      <c r="AH6" s="81">
        <v>5.423364010813467</v>
      </c>
      <c r="AI6" s="81">
        <v>4.753604456573171</v>
      </c>
      <c r="AJ6" s="81">
        <v>4.079580983395663</v>
      </c>
      <c r="AK6" s="81">
        <v>3.4013939106201447</v>
      </c>
      <c r="AL6" s="81">
        <v>2.719132457366897</v>
      </c>
      <c r="AM6" s="81">
        <v>2.0328771975819677</v>
      </c>
      <c r="AN6" s="81">
        <v>1.3426980544205975</v>
      </c>
      <c r="AO6" s="81">
        <v>0.6486547412166085</v>
      </c>
      <c r="AP6" s="81">
        <v>-0.04920231328246051</v>
      </c>
      <c r="AQ6" s="81">
        <v>-0.7087223108993166</v>
      </c>
      <c r="AR6" s="81">
        <v>-1.4190269352767653</v>
      </c>
      <c r="AS6" s="81">
        <v>-2.1330394068271628</v>
      </c>
      <c r="AT6" s="81">
        <v>-2.850697326368868</v>
      </c>
      <c r="AU6" s="81">
        <v>-3.571946053229898</v>
      </c>
      <c r="AV6" s="81">
        <v>-4.296737254929821</v>
      </c>
      <c r="AW6" s="81">
        <v>-5.025029482230474</v>
      </c>
      <c r="AX6" s="81">
        <v>-5.756788259366694</v>
      </c>
      <c r="AY6" s="81">
        <v>-6.4919867064900725</v>
      </c>
      <c r="AZ6" s="81">
        <v>-7.230604645556177</v>
      </c>
      <c r="BA6" s="81">
        <v>-7.972629256897818</v>
      </c>
      <c r="BB6" s="81">
        <v>-8.71805629219202</v>
      </c>
      <c r="BC6" s="81">
        <v>-9.46688819996937</v>
      </c>
      <c r="BD6" s="81">
        <v>-10.219618629854722</v>
      </c>
      <c r="BE6" s="81">
        <v>-10.97694031241607</v>
      </c>
      <c r="BF6" s="81">
        <v>-11.739036913065387</v>
      </c>
      <c r="BG6" s="81">
        <v>-12.506115659693737</v>
      </c>
      <c r="BH6" s="81">
        <v>-13.278407437856673</v>
      </c>
      <c r="BI6" s="81">
        <v>-14.056170773439144</v>
      </c>
      <c r="BJ6" s="81">
        <v>-14.839692248875188</v>
      </c>
      <c r="BK6" s="81">
        <v>-15.62929199621562</v>
      </c>
      <c r="BL6" s="81">
        <v>-16.42532567693167</v>
      </c>
      <c r="BM6" s="81">
        <v>-17.2281861447136</v>
      </c>
      <c r="BN6" s="81">
        <v>-18.038313226207745</v>
      </c>
      <c r="BO6" s="81">
        <v>-18.856193404821735</v>
      </c>
      <c r="BP6" s="81">
        <v>-19.6823688796846</v>
      </c>
      <c r="BQ6" s="81">
        <v>-20.51744449269433</v>
      </c>
      <c r="BR6" s="81">
        <v>-21.362095957539307</v>
      </c>
      <c r="BS6" s="81">
        <v>-22.21708073217743</v>
      </c>
      <c r="BT6" s="81">
        <v>-23.083250632856153</v>
      </c>
      <c r="BU6" s="81">
        <v>-23.96156585079806</v>
      </c>
      <c r="BV6" s="81">
        <v>-24.85311550577215</v>
      </c>
      <c r="BW6" s="81">
        <v>-25.759139338421026</v>
      </c>
      <c r="BX6" s="81">
        <v>-26.681058409626793</v>
      </c>
      <c r="BY6" s="81">
        <v>-27.620509701198753</v>
      </c>
      <c r="BZ6" s="81">
        <v>-28.579396408188046</v>
      </c>
      <c r="CA6" s="81">
        <v>-29.559945216725165</v>
      </c>
      <c r="CB6" s="81">
        <v>-30.564791517976058</v>
      </c>
      <c r="CC6" s="81">
        <v>-31.597086541887347</v>
      </c>
    </row>
    <row r="7" spans="1:81" s="82" customFormat="1" ht="25.5">
      <c r="A7" s="85" t="s">
        <v>210</v>
      </c>
      <c r="B7" s="77" t="s">
        <v>211</v>
      </c>
      <c r="C7" s="81">
        <v>30.823341647751253</v>
      </c>
      <c r="D7" s="81">
        <v>29.829481509658823</v>
      </c>
      <c r="E7" s="81">
        <v>28.859905503760185</v>
      </c>
      <c r="F7" s="81">
        <v>27.911985650712108</v>
      </c>
      <c r="G7" s="81">
        <v>26.98350057212548</v>
      </c>
      <c r="H7" s="81">
        <v>26.072552838209702</v>
      </c>
      <c r="I7" s="81">
        <v>25.177512274374536</v>
      </c>
      <c r="J7" s="81">
        <v>24.29696318320233</v>
      </c>
      <c r="K7" s="81">
        <v>23.429670434773964</v>
      </c>
      <c r="L7" s="81">
        <v>22.57455057713426</v>
      </c>
      <c r="M7" s="81">
        <v>21.73064659655288</v>
      </c>
      <c r="N7" s="81">
        <v>20.897110960459646</v>
      </c>
      <c r="O7" s="81">
        <v>20.073189838783243</v>
      </c>
      <c r="P7" s="81">
        <v>19.258211096019224</v>
      </c>
      <c r="Q7" s="81">
        <v>18.45157286173897</v>
      </c>
      <c r="R7" s="81">
        <v>17.652734774658636</v>
      </c>
      <c r="S7" s="81">
        <v>16.861212773133772</v>
      </c>
      <c r="T7" s="81">
        <v>16.076570006080743</v>
      </c>
      <c r="U7" s="81">
        <v>15.29841386889407</v>
      </c>
      <c r="V7" s="81">
        <v>14.52639065208976</v>
      </c>
      <c r="W7" s="81">
        <v>13.760181127479878</v>
      </c>
      <c r="X7" s="81">
        <v>12.999499683231363</v>
      </c>
      <c r="Y7" s="81">
        <v>12.244088284239238</v>
      </c>
      <c r="Z7" s="81">
        <v>11.493715546067747</v>
      </c>
      <c r="AA7" s="81">
        <v>10.748175412733676</v>
      </c>
      <c r="AB7" s="81">
        <v>10.007283867422805</v>
      </c>
      <c r="AC7" s="81">
        <v>9.27082980002874</v>
      </c>
      <c r="AD7" s="81">
        <v>8.538015125996669</v>
      </c>
      <c r="AE7" s="81">
        <v>7.808600429453775</v>
      </c>
      <c r="AF7" s="81">
        <v>7.082588462306692</v>
      </c>
      <c r="AG7" s="81">
        <v>6.35999155722364</v>
      </c>
      <c r="AH7" s="81">
        <v>5.640827825633799</v>
      </c>
      <c r="AI7" s="81">
        <v>4.925122563448345</v>
      </c>
      <c r="AJ7" s="81">
        <v>4.212908623676376</v>
      </c>
      <c r="AK7" s="81">
        <v>3.5042252789993316</v>
      </c>
      <c r="AL7" s="81">
        <v>2.7991181324810395</v>
      </c>
      <c r="AM7" s="81">
        <v>2.0976395465810693</v>
      </c>
      <c r="AN7" s="81">
        <v>1.3998485760584687</v>
      </c>
      <c r="AO7" s="81">
        <v>0.7058099149182959</v>
      </c>
      <c r="AP7" s="81">
        <v>0.015596365540951208</v>
      </c>
      <c r="AQ7" s="81">
        <v>-0.6190786437159834</v>
      </c>
      <c r="AR7" s="81">
        <v>-1.2968037083042785</v>
      </c>
      <c r="AS7" s="81">
        <v>-1.970601131497211</v>
      </c>
      <c r="AT7" s="81">
        <v>-2.640406127689454</v>
      </c>
      <c r="AU7" s="81">
        <v>-3.306145291248331</v>
      </c>
      <c r="AV7" s="81">
        <v>-3.967735153574638</v>
      </c>
      <c r="AW7" s="81">
        <v>-4.625083200613327</v>
      </c>
      <c r="AX7" s="81">
        <v>-5.27808788163033</v>
      </c>
      <c r="AY7" s="81">
        <v>-5.926639095157891</v>
      </c>
      <c r="AZ7" s="81">
        <v>-6.570617186390658</v>
      </c>
      <c r="BA7" s="81">
        <v>-7.209894390236995</v>
      </c>
      <c r="BB7" s="81">
        <v>-7.844334785316392</v>
      </c>
      <c r="BC7" s="81">
        <v>-8.473793260107968</v>
      </c>
      <c r="BD7" s="81">
        <v>-9.09811741057317</v>
      </c>
      <c r="BE7" s="81">
        <v>-9.7171460000836</v>
      </c>
      <c r="BF7" s="81">
        <v>-10.330710840723082</v>
      </c>
      <c r="BG7" s="81">
        <v>-10.938634265941175</v>
      </c>
      <c r="BH7" s="81">
        <v>-11.540733447076736</v>
      </c>
      <c r="BI7" s="81">
        <v>-12.136815905119603</v>
      </c>
      <c r="BJ7" s="81">
        <v>-12.7266833347385</v>
      </c>
      <c r="BK7" s="81">
        <v>-13.310129072315918</v>
      </c>
      <c r="BL7" s="81">
        <v>-13.886940455937085</v>
      </c>
      <c r="BM7" s="81">
        <v>-14.456897766393462</v>
      </c>
      <c r="BN7" s="81">
        <v>-15.019774640184204</v>
      </c>
      <c r="BO7" s="81">
        <v>-15.575337509456505</v>
      </c>
      <c r="BP7" s="81">
        <v>-16.12334848033445</v>
      </c>
      <c r="BQ7" s="81">
        <v>-16.663562342271227</v>
      </c>
      <c r="BR7" s="81">
        <v>-17.195727504531796</v>
      </c>
      <c r="BS7" s="81">
        <v>-17.719588915113057</v>
      </c>
      <c r="BT7" s="81">
        <v>-18.234884117655657</v>
      </c>
      <c r="BU7" s="81">
        <v>-18.741347676696282</v>
      </c>
      <c r="BV7" s="81">
        <v>-19.23870725900287</v>
      </c>
      <c r="BW7" s="81">
        <v>-19.726688102297263</v>
      </c>
      <c r="BX7" s="81">
        <v>-20.205009619750836</v>
      </c>
      <c r="BY7" s="81">
        <v>-20.673388930981478</v>
      </c>
      <c r="BZ7" s="81">
        <v>-21.131538984714176</v>
      </c>
      <c r="CA7" s="81">
        <v>-21.57916916958406</v>
      </c>
      <c r="CB7" s="81">
        <v>-22.01598595018709</v>
      </c>
      <c r="CC7" s="81">
        <v>-22.441694525181443</v>
      </c>
    </row>
    <row r="9" ht="12.75">
      <c r="A9" s="86"/>
    </row>
    <row r="10" ht="12.75">
      <c r="A10" s="86"/>
    </row>
  </sheetData>
  <printOptions/>
  <pageMargins left="0.75" right="0.75" top="1" bottom="1" header="0.512" footer="0.512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</dc:creator>
  <cp:keywords/>
  <dc:description/>
  <cp:lastModifiedBy>yis</cp:lastModifiedBy>
  <dcterms:created xsi:type="dcterms:W3CDTF">2012-02-23T10:52:38Z</dcterms:created>
  <dcterms:modified xsi:type="dcterms:W3CDTF">2012-02-23T10:53:14Z</dcterms:modified>
  <cp:category/>
  <cp:version/>
  <cp:contentType/>
  <cp:contentStatus/>
</cp:coreProperties>
</file>